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drawings/drawing4.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11.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drawings/drawing13.xml" ContentType="application/vnd.openxmlformats-officedocument.drawing+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codeName="ThisWorkbook"/>
  <mc:AlternateContent xmlns:mc="http://schemas.openxmlformats.org/markup-compatibility/2006">
    <mc:Choice Requires="x15">
      <x15ac:absPath xmlns:x15ac="http://schemas.microsoft.com/office/spreadsheetml/2010/11/ac" url="C:\Users\nhoriuchi\Documents\◆パートナー\日本レジャーホテル協会\"/>
    </mc:Choice>
  </mc:AlternateContent>
  <xr:revisionPtr revIDLastSave="0" documentId="13_ncr:1_{197966A9-768E-4514-9F1A-A7612503404A}" xr6:coauthVersionLast="47" xr6:coauthVersionMax="47" xr10:uidLastSave="{00000000-0000-0000-0000-000000000000}"/>
  <workbookProtection workbookAlgorithmName="SHA-512" workbookHashValue="NZKqDBU4B6oFzk1YRDruLJAoJc4JI/70Qv4UtqMtavMkKv8EDrAOZkLYmhwrHBHdDvZacbaVvBMPvUOdQ/7uZw==" workbookSaltValue="TDxceCKj8xBd0T2e2K0D4w==" workbookSpinCount="100000" lockStructure="1"/>
  <bookViews>
    <workbookView xWindow="-110" yWindow="-110" windowWidth="19420" windowHeight="11620" tabRatio="934" firstSheet="6" activeTab="8" xr2:uid="{00000000-000D-0000-FFFF-FFFF00000000}"/>
  </bookViews>
  <sheets>
    <sheet name="【見本】記入シート1" sheetId="43" r:id="rId1"/>
    <sheet name="【見本】記入シート2" sheetId="48" r:id="rId2"/>
    <sheet name="【見本】【JCB用記入シート】業態シート" sheetId="76" r:id="rId3"/>
    <sheet name="【見本】【楽天Edy用記入シート】業種シート" sheetId="53" r:id="rId4"/>
    <sheet name="【見本】【楽天Edy用記入シート】チェックシート" sheetId="54" r:id="rId5"/>
    <sheet name="【見本】【iD・WAON用記入シート】業種シート" sheetId="64" r:id="rId6"/>
    <sheet name="サービス申込みに必要な添付書類" sheetId="72" r:id="rId7"/>
    <sheet name="記入シート1" sheetId="11" r:id="rId8"/>
    <sheet name="記入シート2" sheetId="5" r:id="rId9"/>
    <sheet name="【JCB用記入シート】業態シート" sheetId="58" r:id="rId10"/>
    <sheet name="【楽天Edy用記入シート】業種シート" sheetId="29" r:id="rId11"/>
    <sheet name="【楽天Edy用記入シート】チェックシート" sheetId="32" r:id="rId12"/>
    <sheet name="【iD・WAON用記入シート】業種シート" sheetId="63" r:id="rId13"/>
    <sheet name="【追加アプリ用記入シート】チェックシート" sheetId="68" r:id="rId14"/>
    <sheet name="【PayPay用】自治体キャンペーンシート" sheetId="81" r:id="rId15"/>
  </sheets>
  <externalReferences>
    <externalReference r:id="rId16"/>
    <externalReference r:id="rId17"/>
    <externalReference r:id="rId18"/>
    <externalReference r:id="rId19"/>
    <externalReference r:id="rId20"/>
  </externalReferences>
  <definedNames>
    <definedName name="_xlnm._FilterDatabase" localSheetId="10" hidden="1">【楽天Edy用記入シート】業種シート!$A$7:$E$117</definedName>
    <definedName name="_xlnm._FilterDatabase" localSheetId="3" hidden="1">【見本】【楽天Edy用記入シート】業種シート!$A$7:$E$117</definedName>
    <definedName name="_xlnm._FilterDatabase" localSheetId="0" hidden="1">【見本】記入シート1!#REF!</definedName>
    <definedName name="_xlnm._FilterDatabase" localSheetId="1" hidden="1">【見本】記入シート2!#REF!</definedName>
    <definedName name="_xlnm._FilterDatabase" localSheetId="7" hidden="1">記入シート1!#REF!</definedName>
    <definedName name="_xlnm._FilterDatabase" localSheetId="8" hidden="1">記入シート2!#REF!</definedName>
    <definedName name="■時間" localSheetId="14">[1]記入シート1!$BG$2:$BG$25</definedName>
    <definedName name="■時間" localSheetId="2">[2]記入シート1!$BG$2:$BG$25</definedName>
    <definedName name="■時間" localSheetId="0">【見本】記入シート1!$BG$2:$BG$25</definedName>
    <definedName name="■時間">記入シート1!$BG$2:$BG$25</definedName>
    <definedName name="■取扱区分" localSheetId="14">[1]記入シート1!$AZ$2:$AZ$18</definedName>
    <definedName name="■取扱区分">[3]記入シート1!$AZ$2:$AZ$18</definedName>
    <definedName name="■都道府県" localSheetId="12">[4]記入シート1!$BO$2:$BO$49</definedName>
    <definedName name="■都道府県" localSheetId="9">[4]記入シート1!$BO$2:$BO$49</definedName>
    <definedName name="■都道府県" localSheetId="14">[1]記入シート1!$BO$2:$BO$49</definedName>
    <definedName name="■都道府県" localSheetId="5">[4]記入シート1!$BO$2:$BO$49</definedName>
    <definedName name="■都道府県" localSheetId="2">[4]記入シート1!$BO$2:$BO$49</definedName>
    <definedName name="■都道府県">記入シート1!$BO$2:$BO$49</definedName>
    <definedName name="■販売形態" localSheetId="12">[4]記入シート1!$BL$2:$BL$9</definedName>
    <definedName name="■販売形態" localSheetId="9">[4]記入シート1!$BL$2:$BL$9</definedName>
    <definedName name="■販売形態" localSheetId="14">[1]記入シート1!$BL$2:$BL$7</definedName>
    <definedName name="■販売形態" localSheetId="5">[4]記入シート1!$BL$2:$BL$9</definedName>
    <definedName name="■販売形態" localSheetId="2">[4]記入シート1!$BL$2:$BL$9</definedName>
    <definedName name="■販売形態" localSheetId="0">【見本】記入シート1!$BL$2:$BL$9</definedName>
    <definedName name="■販売形態">記入シート1!$BL$2:$BL$9</definedName>
    <definedName name="■分" localSheetId="12">[4]記入シート1!$BH$2:$BH$7</definedName>
    <definedName name="■分" localSheetId="9">[4]記入シート1!$BH$2:$BH$7</definedName>
    <definedName name="■分" localSheetId="14">[1]記入シート1!$BH$2:$BH$7</definedName>
    <definedName name="■分" localSheetId="5">[4]記入シート1!$BH$2:$BH$7</definedName>
    <definedName name="■分" localSheetId="2">[4]記入シート1!$BH$2:$BH$7</definedName>
    <definedName name="■分" localSheetId="0">【見本】記入シート1!$BH$2:$BH$7</definedName>
    <definedName name="■分">記入シート1!$BH$2:$BH$7</definedName>
    <definedName name="auPAY業種" localSheetId="1">記入シート2!$AX$339:$AX$361</definedName>
    <definedName name="auPAY業種" localSheetId="8">記入シート2!$AX$339:$AX$361</definedName>
    <definedName name="d払い業態" localSheetId="12">[4]記入シート2!$AX$203:$AX$233</definedName>
    <definedName name="d払い業態" localSheetId="9">[4]記入シート2!$AX$203:$AX$233</definedName>
    <definedName name="d払い業態" localSheetId="14">[1]記入シート2!$AX$177:$AX$207</definedName>
    <definedName name="d払い業態" localSheetId="5">[4]記入シート2!$AX$203:$AX$233</definedName>
    <definedName name="d払い業態" localSheetId="2">[4]記入シート2!$AX$203:$AX$233</definedName>
    <definedName name="d払い業態" localSheetId="1">【見本】記入シート2!$AX$203:$AX$233</definedName>
    <definedName name="d払い業態">記入シート2!$AX$203:$AX$233</definedName>
    <definedName name="JCoin0000" localSheetId="8">記入シート2!$BN$523</definedName>
    <definedName name="JCoin1000" localSheetId="8">記入シート2!$AY$523:$AY$572</definedName>
    <definedName name="JCoin1100" localSheetId="8">記入シート2!$AZ$523:$AZ$531</definedName>
    <definedName name="JCoin1200" localSheetId="8">記入シート2!$BA$523:$BA$557</definedName>
    <definedName name="JCoin1300" localSheetId="8">記入シート2!$BB$523:$BB$545</definedName>
    <definedName name="JCoin1400" localSheetId="8">記入シート2!$BC$523:$BC$531</definedName>
    <definedName name="JCoin1500" localSheetId="8">記入シート2!$BD$523:$BD$528</definedName>
    <definedName name="JCoin1600" localSheetId="8">記入シート2!$BE$523:$BE$533</definedName>
    <definedName name="JCoin1700" localSheetId="8">記入シート2!$BF$523:$BF$545</definedName>
    <definedName name="JCoin1800" localSheetId="8">記入シート2!$BG$523:$BG$547</definedName>
    <definedName name="JCoin1900" localSheetId="8">記入シート2!$BH$523:$BH$551</definedName>
    <definedName name="JCoin2000" localSheetId="8">記入シート2!$BI$523:$BI$567</definedName>
    <definedName name="JCoin2100" localSheetId="8">記入シート2!$BJ$523:$BJ$535</definedName>
    <definedName name="JCoin2200" localSheetId="8">記入シート2!$BK$523:$BK$534</definedName>
    <definedName name="JCoin2300" localSheetId="8">記入シート2!$BL$523:$BL$536</definedName>
    <definedName name="JCoin2400" localSheetId="8">記入シート2!$BM$523:$BM$528</definedName>
    <definedName name="JCoin業種" localSheetId="1">記入シート2!$AX$523:$AX$538</definedName>
    <definedName name="JCoin業種" localSheetId="8">記入シート2!$AX$523:$AX$538</definedName>
    <definedName name="JKOPAY0000" localSheetId="8">記入シート2!$BE$365</definedName>
    <definedName name="JKOPAY1000" localSheetId="8">記入シート2!$AY$365:$AY$390</definedName>
    <definedName name="JKOPAY2000" localSheetId="8">記入シート2!$AZ$365:$AZ$371</definedName>
    <definedName name="JKOPAY3000" localSheetId="8">記入シート2!$BA$365:$BA$369</definedName>
    <definedName name="JKOPAY4000" localSheetId="8">記入シート2!$BB$365:$BB$368</definedName>
    <definedName name="JKOPAY5000" localSheetId="8">記入シート2!$BC$365:$BC$373</definedName>
    <definedName name="JKOPAY6000" localSheetId="8">記入シート2!$BD$365:$BD$367</definedName>
    <definedName name="JKOPAY商品1" localSheetId="1">記入シート2!$AX$365:$AX$371</definedName>
    <definedName name="JKOPAY商品1" localSheetId="8">記入シート2!$AX$365:$AX$371</definedName>
    <definedName name="LinePayショッピング・小売" localSheetId="8">記入シート2!$AZ$237:$AZ$270</definedName>
    <definedName name="LinePayスポーツ" localSheetId="8">記入シート2!$BB$237:$BB$241</definedName>
    <definedName name="LinePayスポーツチーム・団体" localSheetId="8">記入シート2!$BQ$237:$BQ$238</definedName>
    <definedName name="LinePayファッション" localSheetId="8">記入シート2!$BA$237:$BA$242</definedName>
    <definedName name="LinePayペット" localSheetId="8">記入シート2!$BI$237:$BI$243</definedName>
    <definedName name="LinePay医療機関・診療所" localSheetId="8">記入シート2!$BF$237:$BF$245</definedName>
    <definedName name="LinePay飲食" localSheetId="8">記入シート2!$AY$237:$AY$239</definedName>
    <definedName name="LinePay冠婚葬祭" localSheetId="8">記入シート2!$BT$237:$BT$242</definedName>
    <definedName name="LinePay教育・習い事" localSheetId="8">記入シート2!$BC$237:$BC$244</definedName>
    <definedName name="LinePay業種" localSheetId="8">記入シート2!$AX$237:$AX$262</definedName>
    <definedName name="LinePay銀行・保険・金融" localSheetId="8">記入シート2!$BN$237:$BN$244</definedName>
    <definedName name="LinePay建設・土木" localSheetId="8">記入シート2!$BW$237:$BW$239</definedName>
    <definedName name="LinePay交通機関・サービス" localSheetId="8">記入シート2!$BM$237:$BM$244</definedName>
    <definedName name="LinePay公共機関・施設" localSheetId="8">記入シート2!$BR$237:$BR$238</definedName>
    <definedName name="LinePay寺院・神社・教会" localSheetId="8">記入シート2!$BO$237:$BO$239</definedName>
    <definedName name="LinePay自動車・バイク" localSheetId="8">記入シート2!$BL$237:$BL$249</definedName>
    <definedName name="LinePay宿泊施設" localSheetId="8">記入シート2!$BJ$237:$BJ$239</definedName>
    <definedName name="LinePay生活関連サービス" localSheetId="8">記入シート2!$BH$237:$BH$254</definedName>
    <definedName name="LinePay専門サービス" localSheetId="8">記入シート2!$BG$237:$BG$253</definedName>
    <definedName name="LinePay選択してください" localSheetId="8">記入シート2!$BX$237</definedName>
    <definedName name="LinePay団体" localSheetId="8">記入シート2!$BP$237:$BP$238</definedName>
    <definedName name="LinePay通信・情報・メディア" localSheetId="8">記入シート2!$BV$237:$BV$243</definedName>
    <definedName name="LinePay電気・ガス・エネルギー" localSheetId="8">記入シート2!$BU$237:$BU$241</definedName>
    <definedName name="LinePay美容・サロン" localSheetId="8">記入シート2!$BE$237:$BE$242</definedName>
    <definedName name="LinePay福祉・介護" localSheetId="8">記入シート2!$BS$237:$BS$240</definedName>
    <definedName name="LinePay保育・学校" localSheetId="8">記入シート2!$BD$237:$BD$245</definedName>
    <definedName name="LinePay旅行・エンタメ・レジャー" localSheetId="8">記入シート2!$BK$237:$BK$263</definedName>
    <definedName name="Origamiカテゴリー" localSheetId="1">【見本】記入シート2!$AX$280:$AX$293</definedName>
    <definedName name="Origamiカテゴリー" localSheetId="8">記入シート2!$AX$280:$AX$293</definedName>
    <definedName name="Origamiコンビニ・スーパー・食料飲料品店" localSheetId="1">【見本】記入シート2!$BB$280:$BB$285</definedName>
    <definedName name="Origamiコンビニ・スーパー・食料飲料品店" localSheetId="8">記入シート2!$BB$280:$BB$285</definedName>
    <definedName name="Origamiファッション" localSheetId="1">【見本】記入シート2!$AY$280:$AY$289</definedName>
    <definedName name="Origamiファッション" localSheetId="8">記入シート2!$AY$280:$AY$289</definedName>
    <definedName name="Origamiレジャー・エンターテイメント・フィットネス" localSheetId="1">【見本】記入シート2!$BE$280:$BE$294</definedName>
    <definedName name="Origamiレジャー・エンターテイメント・フィットネス" localSheetId="8">記入シート2!$BE$280:$BE$294</definedName>
    <definedName name="Origami医療" localSheetId="1">【見本】記入シート2!$BI$280:$BI$290</definedName>
    <definedName name="Origami医療" localSheetId="8">記入シート2!$BI$280:$BI$290</definedName>
    <definedName name="Origami飲食" localSheetId="1">【見本】記入シート2!$AZ$280:$AZ$297</definedName>
    <definedName name="Origami飲食" localSheetId="8">記入シート2!$AZ$280:$AZ$297</definedName>
    <definedName name="Origami観光・宿泊" localSheetId="1">【見本】記入シート2!$BF$280:$BF$288</definedName>
    <definedName name="Origami観光・宿泊" localSheetId="8">記入シート2!$BF$280:$BF$288</definedName>
    <definedName name="Origami教育・習い事" localSheetId="1">【見本】記入シート2!$BJ$280:$BJ$293</definedName>
    <definedName name="Origami教育・習い事" localSheetId="8">記入シート2!$BJ$280:$BJ$293</definedName>
    <definedName name="Origami交通・運送・運輸関連サービス" localSheetId="1">【見本】記入シート2!$BD$280:$BD$291</definedName>
    <definedName name="Origami交通・運送・運輸関連サービス" localSheetId="8">記入シート2!$BD$280:$BD$291</definedName>
    <definedName name="Origami小売" localSheetId="1">【見本】記入シート2!$BG$280:$BG$305</definedName>
    <definedName name="Origami小売" localSheetId="8">記入シート2!$BG$280:$BG$305</definedName>
    <definedName name="Origami専門サービス" localSheetId="1">【見本】記入シート2!$BH$280:$BH$312</definedName>
    <definedName name="Origami専門サービス" localSheetId="8">記入シート2!$BH$280:$BH$312</definedName>
    <definedName name="Origami選択してください" localSheetId="1">【見本】記入シート2!$BL$280</definedName>
    <definedName name="Origami選択してください" localSheetId="8">記入シート2!$BL$280</definedName>
    <definedName name="Origami非営利・団体" localSheetId="1">【見本】記入シート2!$BK$280:$BK$285</definedName>
    <definedName name="Origami非営利・団体" localSheetId="8">記入シート2!$BK$280:$BK$285</definedName>
    <definedName name="Origami美容" localSheetId="1">【見本】記入シート2!$BA$280:$BA$290</definedName>
    <definedName name="Origami美容" localSheetId="8">記入シート2!$BA$280:$BA$290</definedName>
    <definedName name="Origami百貨店・量販店・専門店" localSheetId="1">【見本】記入シート2!$BC$280:$BC$289</definedName>
    <definedName name="Origami百貨店・量販店・専門店" localSheetId="8">記入シート2!$BC$280:$BC$289</definedName>
    <definedName name="PayPayサービス" localSheetId="1">【見本】記入シート2!$BD$177:$BD$208</definedName>
    <definedName name="PayPayサービス" localSheetId="8">記入シート2!$BD$177:$BD$208</definedName>
    <definedName name="PayPayスクール" localSheetId="1">【見本】記入シート2!$BC$177:$BC$182</definedName>
    <definedName name="PayPayスクール" localSheetId="8">記入シート2!$BC$177:$BC$182</definedName>
    <definedName name="PayPayビューティ・リラクゼーション" localSheetId="1">【見本】記入シート2!$BA$177:$BA$187</definedName>
    <definedName name="PayPayビューティ・リラクゼーション" localSheetId="8">記入シート2!$BA$177:$BA$187</definedName>
    <definedName name="PayPay飲食" localSheetId="1">【見本】記入シート2!$AZ$177:$AZ$180</definedName>
    <definedName name="PayPay飲食" localSheetId="8">記入シート2!$AZ$177:$AZ$180</definedName>
    <definedName name="PayPay学校・教育機関" localSheetId="1">【見本】記入シート2!$BH$177:$BH$185</definedName>
    <definedName name="PayPay学校・教育機関" localSheetId="8">記入シート2!$BH$177:$BH$185</definedName>
    <definedName name="PayPay娯楽" localSheetId="1">【見本】記入シート2!$BE$177:$BE$180</definedName>
    <definedName name="PayPay娯楽" localSheetId="8">記入シート2!$BE$177:$BE$180</definedName>
    <definedName name="PayPay交通" localSheetId="1">【見本】記入シート2!$BF$177:$BF$186</definedName>
    <definedName name="PayPay交通" localSheetId="8">記入シート2!$BF$177:$BF$186</definedName>
    <definedName name="PayPay行政・公共サービス" localSheetId="1">【見本】記入シート2!$BG$177:$BG$181</definedName>
    <definedName name="PayPay行政・公共サービス" localSheetId="8">記入シート2!$BG$177:$BG$181</definedName>
    <definedName name="PayPay商品1" localSheetId="1">【見本】記入シート2!$AX$177:$AX$187</definedName>
    <definedName name="PayPay商品1" localSheetId="8">記入シート2!$AX$177:$AX$187</definedName>
    <definedName name="PayPay小売" localSheetId="1">【見本】記入シート2!$AY$177:$AY$226</definedName>
    <definedName name="PayPay小売" localSheetId="8">記入シート2!$AY$177:$AY$226</definedName>
    <definedName name="PayPay選択してください" localSheetId="1">【見本】記入シート2!$BI$177</definedName>
    <definedName name="PayPay選択してください" localSheetId="8">記入シート2!$BI$177</definedName>
    <definedName name="PayPay病院" localSheetId="1">【見本】記入シート2!$BB$177:$BB$180</definedName>
    <definedName name="PayPay病院" localSheetId="8">記入シート2!$BB$177:$BB$180</definedName>
    <definedName name="PCIDSS準拠状況" localSheetId="12">[4]記入シート1!$BN$2:$BN$5</definedName>
    <definedName name="PCIDSS準拠状況" localSheetId="9">[4]記入シート1!$BN$2:$BN$5</definedName>
    <definedName name="PCIDSS準拠状況" localSheetId="14">#REF!</definedName>
    <definedName name="PCIDSS準拠状況" localSheetId="5">[4]記入シート1!$BN$2:$BN$5</definedName>
    <definedName name="PCIDSS準拠状況" localSheetId="2">[4]記入シート1!$BN$2:$BN$5</definedName>
    <definedName name="PCIDSS準拠状況" localSheetId="0">【見本】記入シート1!$BN$2:$BN$5</definedName>
    <definedName name="PCIDSS準拠状況">記入シート1!$BN$2:$BN$5</definedName>
    <definedName name="_xlnm.Print_Area" localSheetId="11">【楽天Edy用記入シート】チェックシート!$A$1:$F$50</definedName>
    <definedName name="_xlnm.Print_Area" localSheetId="4">【見本】【楽天Edy用記入シート】チェックシート!$A$1:$F$50</definedName>
    <definedName name="_xlnm.Print_Area" localSheetId="0">【見本】記入シート1!$B$2:$AU$143</definedName>
    <definedName name="_xlnm.Print_Area" localSheetId="1">【見本】記入シート2!$B$2:$AU$188</definedName>
    <definedName name="_xlnm.Print_Area" localSheetId="13">【追加アプリ用記入シート】チェックシート!$A$1:$G$17</definedName>
    <definedName name="_xlnm.Print_Area" localSheetId="7">記入シート1!$B$2:$AU$143</definedName>
    <definedName name="_xlnm.Print_Area" localSheetId="8">記入シート2!$B$2:$AU$217</definedName>
    <definedName name="WeChatPayビジネスカテゴリ" localSheetId="1">【見本】記入シート2!$AZ$203:$AZ$221</definedName>
    <definedName name="WeChatPayビジネスカテゴリ" localSheetId="8">記入シート2!$AZ$203:$AZ$221</definedName>
    <definedName name="カード情報保持状況" localSheetId="12">[4]記入シート1!$BM$2:$BM$5</definedName>
    <definedName name="カード情報保持状況" localSheetId="9">[4]記入シート1!$BM$2:$BM$5</definedName>
    <definedName name="カード情報保持状況" localSheetId="14">#REF!</definedName>
    <definedName name="カード情報保持状況" localSheetId="5">[4]記入シート1!$BM$2:$BM$5</definedName>
    <definedName name="カード情報保持状況" localSheetId="2">[4]記入シート1!$BM$2:$BM$5</definedName>
    <definedName name="カード情報保持状況" localSheetId="0">【見本】記入シート1!$BM$2:$BM$5</definedName>
    <definedName name="カード情報保持状況">記入シート1!$BM$2:$BM$5</definedName>
    <definedName name="メルペイエンタメ" localSheetId="8">記入シート2!$BO$316:$BO$322</definedName>
    <definedName name="メルペイオンラインサービス" localSheetId="8">記入シート2!$BQ$316:$BQ$320</definedName>
    <definedName name="メルペイその他" localSheetId="8">記入シート2!$BP$316:$BP$319</definedName>
    <definedName name="メルペイファッション" localSheetId="8">記入シート2!$BE$316:$BE$320</definedName>
    <definedName name="メルペイホビー" localSheetId="8">記入シート2!$BC$316:$BC$324</definedName>
    <definedName name="メルペイ医療・介護" localSheetId="8">記入シート2!$BL$316:$BL$325</definedName>
    <definedName name="メルペイ飲食" localSheetId="8">記入シート2!$AY$316:$AY$320</definedName>
    <definedName name="メルペイ学習・教育・保育" localSheetId="8">記入シート2!$BH$316:$BH$324</definedName>
    <definedName name="メルペイ冠婚葬祭" localSheetId="8">記入シート2!$BN$316:$BN$320</definedName>
    <definedName name="メルペイ業種" localSheetId="1">記入シート2!$AX$316:$AX$336</definedName>
    <definedName name="メルペイ業種" localSheetId="8">記入シート2!$AX$316:$AX$336</definedName>
    <definedName name="メルペイ交通・輸送" localSheetId="8">記入シート2!$BJ$316:$BJ$321</definedName>
    <definedName name="メルペイ公共事業・通信" localSheetId="8">記入シート2!$BK$316:$BK$318</definedName>
    <definedName name="メルペイ自動車関連" localSheetId="8">記入シート2!$BI$316:$BI$321</definedName>
    <definedName name="メルペイ宿泊・娯楽・スポーツ等施設" localSheetId="8">記入シート2!$BG$316:$BG$323</definedName>
    <definedName name="メルペイ小売総合" localSheetId="8">記入シート2!$AZ$316:$AZ$322</definedName>
    <definedName name="メルペイ食料品" localSheetId="8">記入シート2!$BA$316:$BA$318</definedName>
    <definedName name="メルペイ専門サービス" localSheetId="8">記入シート2!$BM$316:$BM$325</definedName>
    <definedName name="メルペイ選択してください" localSheetId="8">記入シート2!$BS$316</definedName>
    <definedName name="メルペイ電子機器" localSheetId="8">記入シート2!$BB$316:$BB$319</definedName>
    <definedName name="メルペイ美容" localSheetId="8">記入シート2!$BF$316:$BF$322</definedName>
    <definedName name="メルペイ暮らし" localSheetId="8">記入シート2!$BD$316:$BD$328</definedName>
    <definedName name="メルペイ無人端末" localSheetId="8">記入シート2!$BR$316:$BR$318</definedName>
    <definedName name="楽天ペイ0000" localSheetId="8">記入シート2!$BP$394</definedName>
    <definedName name="楽天ペイ1000" localSheetId="8">記入シート2!$AY$394:$AY$397</definedName>
    <definedName name="楽天ペイ1100" localSheetId="8">記入シート2!$AZ$394:$AZ$396</definedName>
    <definedName name="楽天ペイ1200" localSheetId="8">記入シート2!$BA$394:$BA$408</definedName>
    <definedName name="楽天ペイ1300" localSheetId="8">記入シート2!$BB$394:$BB$399</definedName>
    <definedName name="楽天ペイ1400" localSheetId="8">記入シート2!$BC$394:$BC$396</definedName>
    <definedName name="楽天ペイ1500" localSheetId="8">記入シート2!$BD$394:$BD$402</definedName>
    <definedName name="楽天ペイ1600" localSheetId="8">記入シート2!$BE$394:$BE$401</definedName>
    <definedName name="楽天ペイ1700" localSheetId="8">記入シート2!$BF$394:$BF$397</definedName>
    <definedName name="楽天ペイ1800" localSheetId="8">記入シート2!$BG$394:$BG$405</definedName>
    <definedName name="楽天ペイ1900" localSheetId="8">記入シート2!$BH$394:$BH$404</definedName>
    <definedName name="楽天ペイ2000" localSheetId="8">記入シート2!$BI$394:$BI$399</definedName>
    <definedName name="楽天ペイ2100" localSheetId="8">記入シート2!$BJ$394:$BJ$398</definedName>
    <definedName name="楽天ペイ2200" localSheetId="8">記入シート2!$BK$394:$BK$400</definedName>
    <definedName name="楽天ペイ2300" localSheetId="8">記入シート2!$BL$394:$BL$403</definedName>
    <definedName name="楽天ペイ2400" localSheetId="8">記入シート2!$BM$394:$BM$400</definedName>
    <definedName name="楽天ペイ2500" localSheetId="8">記入シート2!$BN$394:$BN$398</definedName>
    <definedName name="楽天ペイ2600" localSheetId="8">記入シート2!$BO$394:$BO$400</definedName>
    <definedName name="楽天ペイ大項目" localSheetId="8">記入シート2!$AX$394:$AX$411</definedName>
    <definedName name="時間">[5]●記入シート1!$BG$2:$BG$25</definedName>
    <definedName name="都道府県" localSheetId="14">#REF!</definedName>
    <definedName name="都道府県" localSheetId="0">【見本】記入シート1!$BO$2:$BO$49</definedName>
    <definedName name="都道府県">記入シート1!$BO$2:$BO$49</definedName>
    <definedName name="販売形態">[5]●記入シート1!$BL$2:$BL$13</definedName>
    <definedName name="分">[5]●記入シート1!$BH$2:$BH$7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N194" i="5" l="1"/>
  <c r="DN193" i="5"/>
  <c r="DK194" i="5"/>
  <c r="DK193" i="5"/>
  <c r="DD17" i="5"/>
  <c r="DD16" i="5"/>
  <c r="DD15" i="5"/>
  <c r="DB17" i="5"/>
  <c r="DB16" i="5"/>
  <c r="DB15" i="5"/>
  <c r="AC3" i="5"/>
  <c r="V127" i="5" l="1"/>
  <c r="V126" i="5"/>
  <c r="AX126" i="5" l="1"/>
  <c r="AX127" i="5" l="1"/>
  <c r="AV10" i="5"/>
  <c r="DN192" i="5" l="1"/>
  <c r="DK192" i="5"/>
  <c r="DN178" i="5" l="1"/>
  <c r="DN180" i="5"/>
  <c r="DN179" i="5"/>
  <c r="DD100" i="5"/>
  <c r="AV59" i="5"/>
  <c r="BP10" i="5"/>
  <c r="BO10" i="5"/>
  <c r="BN10" i="5"/>
  <c r="BM10" i="5"/>
  <c r="BL10" i="5"/>
  <c r="BP8" i="5" l="1"/>
  <c r="BO8" i="5"/>
  <c r="BN8" i="5"/>
  <c r="BM8" i="5"/>
  <c r="BL8" i="5"/>
  <c r="DN159" i="5"/>
  <c r="AV9" i="5" l="1"/>
  <c r="AA13" i="5" l="1"/>
  <c r="CP128" i="5"/>
  <c r="CP127" i="5"/>
  <c r="W13" i="5"/>
  <c r="J34" i="68" l="1"/>
  <c r="J32" i="68"/>
  <c r="DN168" i="5" l="1"/>
  <c r="DN167" i="5"/>
  <c r="DN160" i="5"/>
  <c r="DN188" i="5" l="1"/>
  <c r="DN187" i="5"/>
  <c r="DN186" i="5"/>
  <c r="DN184" i="5"/>
  <c r="DN190" i="5"/>
  <c r="DN189" i="5"/>
  <c r="DN185" i="5"/>
  <c r="DK191" i="5"/>
  <c r="DK190" i="5"/>
  <c r="DK189" i="5"/>
  <c r="DK188" i="5"/>
  <c r="DK187" i="5"/>
  <c r="DK186" i="5"/>
  <c r="DK185" i="5"/>
  <c r="DK184" i="5"/>
  <c r="DB101" i="5"/>
  <c r="BJ52" i="5"/>
  <c r="BI52" i="5"/>
  <c r="BB52" i="5"/>
  <c r="BA52" i="5"/>
  <c r="AY52" i="5"/>
  <c r="AW52" i="5"/>
  <c r="AW44" i="5"/>
  <c r="AK44" i="5"/>
  <c r="AZ52" i="5" l="1"/>
  <c r="BK52" i="5" l="1"/>
  <c r="BA37" i="5"/>
  <c r="BA35" i="5"/>
  <c r="BA33" i="5"/>
  <c r="BD37" i="5" l="1"/>
  <c r="BD35" i="5"/>
  <c r="BD33" i="5"/>
  <c r="J30" i="68" l="1"/>
  <c r="J28" i="68"/>
  <c r="DN181" i="5"/>
  <c r="DN183" i="5"/>
  <c r="DN182" i="5"/>
  <c r="DK183" i="5"/>
  <c r="DK182" i="5"/>
  <c r="DK181" i="5"/>
  <c r="DK180" i="5"/>
  <c r="DK179" i="5"/>
  <c r="DK178" i="5"/>
  <c r="AF25" i="5"/>
  <c r="S25" i="5"/>
  <c r="G4" i="76" l="1"/>
  <c r="C4" i="76"/>
  <c r="J26" i="68" l="1"/>
  <c r="CP179" i="5" l="1"/>
  <c r="AW98" i="11"/>
  <c r="J24" i="68" l="1"/>
  <c r="J22" i="68" l="1"/>
  <c r="J20" i="68" l="1"/>
  <c r="J18" i="68"/>
  <c r="AV7" i="5" l="1"/>
  <c r="J16" i="68" l="1"/>
  <c r="K16" i="68" l="1"/>
  <c r="K32" i="68"/>
  <c r="K34" i="68"/>
  <c r="K28" i="68"/>
  <c r="K30" i="68"/>
  <c r="K26" i="68"/>
  <c r="K24" i="68"/>
  <c r="K18" i="68"/>
  <c r="K20" i="68"/>
  <c r="J14" i="68"/>
  <c r="K22" i="68" s="1"/>
  <c r="J12" i="68"/>
  <c r="DN166" i="5" l="1"/>
  <c r="DN165" i="5"/>
  <c r="DN135" i="5"/>
  <c r="DK170" i="5"/>
  <c r="DK171" i="5"/>
  <c r="DK172" i="5"/>
  <c r="DK173" i="5"/>
  <c r="DK174" i="5"/>
  <c r="DK175" i="5"/>
  <c r="DK176" i="5"/>
  <c r="DK177" i="5"/>
  <c r="DK160" i="5"/>
  <c r="DK161" i="5"/>
  <c r="DK162" i="5"/>
  <c r="DK163" i="5"/>
  <c r="DK164" i="5"/>
  <c r="DK165" i="5"/>
  <c r="DK166" i="5"/>
  <c r="DK167" i="5"/>
  <c r="DK168" i="5"/>
  <c r="DK169" i="5"/>
  <c r="DN161" i="5" l="1"/>
  <c r="DN162" i="5"/>
  <c r="DN169" i="5"/>
  <c r="DN163" i="5"/>
  <c r="DN164" i="5"/>
  <c r="D25" i="5" l="1"/>
  <c r="L10" i="5"/>
  <c r="BA64" i="5" l="1"/>
  <c r="BA80" i="5"/>
  <c r="BA78" i="5"/>
  <c r="BA75" i="5"/>
  <c r="BA71" i="5"/>
  <c r="BA67" i="5"/>
  <c r="BA65" i="5"/>
  <c r="BA60" i="5"/>
  <c r="BA50" i="5"/>
  <c r="BA47" i="5"/>
  <c r="BA45" i="5"/>
  <c r="BA44" i="5"/>
  <c r="DD11" i="5" l="1"/>
  <c r="DD12" i="5"/>
  <c r="DB14" i="5"/>
  <c r="DB13" i="5"/>
  <c r="DB12" i="5"/>
  <c r="DB11" i="5"/>
  <c r="DK159" i="5"/>
  <c r="DK158" i="5" l="1"/>
  <c r="DN157" i="5"/>
  <c r="DN156" i="5"/>
  <c r="DN153" i="5"/>
  <c r="DK153" i="5"/>
  <c r="DK154" i="5"/>
  <c r="DK155" i="5"/>
  <c r="DK156" i="5"/>
  <c r="DK157" i="5"/>
  <c r="AY79" i="5" l="1"/>
  <c r="AX79" i="5"/>
  <c r="DN155" i="5" s="1"/>
  <c r="AW79" i="5"/>
  <c r="AV79" i="5"/>
  <c r="AV6" i="11"/>
  <c r="BA575" i="5"/>
  <c r="BB79" i="5" l="1"/>
  <c r="AZ79" i="5"/>
  <c r="DN154" i="5" s="1"/>
  <c r="BJ80" i="5"/>
  <c r="BI80" i="5"/>
  <c r="BD80" i="5"/>
  <c r="AY80" i="5"/>
  <c r="AW80" i="5"/>
  <c r="BP80" i="5" s="1"/>
  <c r="BM80" i="5" l="1"/>
  <c r="BN80" i="5"/>
  <c r="BE80" i="5"/>
  <c r="BF80" i="5" s="1"/>
  <c r="BO80" i="5"/>
  <c r="AZ80" i="5"/>
  <c r="BL80" i="5"/>
  <c r="BK80" i="5" l="1"/>
  <c r="C195" i="48"/>
  <c r="DD61" i="5" l="1"/>
  <c r="DN68" i="5"/>
  <c r="DB89" i="5"/>
  <c r="DD99" i="5"/>
  <c r="DB100" i="5"/>
  <c r="J10" i="68" l="1"/>
  <c r="J8" i="68"/>
  <c r="K8" i="68" s="1"/>
  <c r="J6" i="68"/>
  <c r="K10" i="68" l="1"/>
  <c r="K14" i="68"/>
  <c r="K12" i="68"/>
  <c r="J4" i="68"/>
  <c r="AV174" i="5" s="1"/>
  <c r="K6" i="68"/>
  <c r="CP83" i="5"/>
  <c r="AA145" i="5" l="1"/>
  <c r="BJ19" i="5"/>
  <c r="BJ35" i="5"/>
  <c r="BJ34" i="5"/>
  <c r="BJ33" i="5"/>
  <c r="BJ32" i="5"/>
  <c r="BJ31" i="5"/>
  <c r="BJ30" i="5"/>
  <c r="BJ29" i="5"/>
  <c r="BJ28" i="5"/>
  <c r="BJ27" i="5"/>
  <c r="BJ36" i="5"/>
  <c r="DN3" i="5" l="1"/>
  <c r="BC19" i="5" l="1"/>
  <c r="BD23" i="5"/>
  <c r="BD18" i="5"/>
  <c r="BD17" i="5"/>
  <c r="BD16" i="5"/>
  <c r="BD15" i="5"/>
  <c r="BF19" i="5" l="1"/>
  <c r="AV28" i="5"/>
  <c r="AV117" i="5"/>
  <c r="AV115" i="5"/>
  <c r="AV114" i="5"/>
  <c r="J145" i="48" l="1"/>
  <c r="AD131" i="48"/>
  <c r="AD130" i="48"/>
  <c r="AD129" i="48"/>
  <c r="AD128" i="48"/>
  <c r="AD127" i="48"/>
  <c r="AD126" i="48"/>
  <c r="Z131" i="48"/>
  <c r="Z130" i="48"/>
  <c r="Z129" i="48"/>
  <c r="Z128" i="48"/>
  <c r="Z127" i="48"/>
  <c r="Z126" i="48"/>
  <c r="V131" i="48"/>
  <c r="AE131" i="48" s="1"/>
  <c r="J126" i="48"/>
  <c r="J131" i="48"/>
  <c r="G4" i="64"/>
  <c r="C4" i="64"/>
  <c r="DN152" i="5"/>
  <c r="DN151" i="5"/>
  <c r="DN150" i="5"/>
  <c r="DN149" i="5"/>
  <c r="DN148" i="5"/>
  <c r="DN147" i="5"/>
  <c r="DN146" i="5"/>
  <c r="DN145" i="5"/>
  <c r="DK149" i="5"/>
  <c r="DK150" i="5"/>
  <c r="DK151" i="5"/>
  <c r="DK152" i="5"/>
  <c r="DK148" i="5"/>
  <c r="DK147" i="5"/>
  <c r="DK146" i="5"/>
  <c r="DK145" i="5"/>
  <c r="DN142" i="5"/>
  <c r="DN143" i="5"/>
  <c r="DN144" i="5"/>
  <c r="DN141" i="5"/>
  <c r="DK144" i="5"/>
  <c r="DK143" i="5"/>
  <c r="DK142" i="5"/>
  <c r="DK141" i="5"/>
  <c r="DN17" i="5"/>
  <c r="DN12" i="5"/>
  <c r="DN4" i="5"/>
  <c r="DN176" i="5" l="1"/>
  <c r="DN177" i="5"/>
  <c r="DN174" i="5"/>
  <c r="DN175" i="5"/>
  <c r="DN170" i="5"/>
  <c r="AW84" i="5"/>
  <c r="DD9" i="5"/>
  <c r="DD10" i="5"/>
  <c r="DD8" i="5"/>
  <c r="DD7" i="5" l="1"/>
  <c r="AV83" i="5" l="1"/>
  <c r="DN158" i="5" s="1"/>
  <c r="AA128" i="5" l="1"/>
  <c r="AV126" i="5"/>
  <c r="AE131" i="5"/>
  <c r="AE126" i="5"/>
  <c r="DD58" i="5" l="1"/>
  <c r="DD59" i="5"/>
  <c r="DD60" i="5"/>
  <c r="DD62" i="5"/>
  <c r="DD63" i="5"/>
  <c r="DD64" i="5"/>
  <c r="DD65" i="5"/>
  <c r="DD66" i="5"/>
  <c r="DD67" i="5"/>
  <c r="G4" i="63" l="1"/>
  <c r="C4" i="63"/>
  <c r="DN53" i="5" l="1"/>
  <c r="DN54" i="5"/>
  <c r="AW23" i="5"/>
  <c r="DK140" i="5" l="1"/>
  <c r="DK139" i="5"/>
  <c r="BP23" i="5"/>
  <c r="BN23" i="5"/>
  <c r="BO23" i="5"/>
  <c r="BB63" i="5" l="1"/>
  <c r="BB62" i="5"/>
  <c r="BA63" i="5"/>
  <c r="DN140" i="5" s="1"/>
  <c r="BA62" i="5"/>
  <c r="BC63" i="5" l="1"/>
  <c r="BC62" i="5"/>
  <c r="DN139" i="5" l="1"/>
  <c r="J34" i="43"/>
  <c r="AV15" i="5"/>
  <c r="BJ38" i="5"/>
  <c r="BJ37" i="5"/>
  <c r="BJ44" i="5"/>
  <c r="BL11" i="5"/>
  <c r="AW88" i="5" l="1"/>
  <c r="DD80" i="5"/>
  <c r="DK138" i="5"/>
  <c r="DK137" i="5"/>
  <c r="DK136" i="5"/>
  <c r="DK135" i="5"/>
  <c r="DN137" i="5"/>
  <c r="DD50" i="5"/>
  <c r="BM11" i="5"/>
  <c r="DD79" i="5" l="1"/>
  <c r="AW154" i="5"/>
  <c r="AW159" i="5"/>
  <c r="AV153" i="5" l="1"/>
  <c r="G4" i="58" l="1"/>
  <c r="C4" i="58"/>
  <c r="DN136" i="5" l="1"/>
  <c r="AV71" i="11"/>
  <c r="C23" i="11"/>
  <c r="AV70" i="11"/>
  <c r="AV34" i="11"/>
  <c r="AV51" i="11"/>
  <c r="CP98" i="5" l="1"/>
  <c r="CP87" i="5"/>
  <c r="CP97" i="5"/>
  <c r="CP86" i="5"/>
  <c r="AV120" i="11"/>
  <c r="DN134" i="5" l="1"/>
  <c r="DN133" i="5"/>
  <c r="DK134" i="5"/>
  <c r="DK133" i="5"/>
  <c r="BF23" i="5" l="1"/>
  <c r="BF22" i="5"/>
  <c r="BF21" i="5"/>
  <c r="BF20" i="5"/>
  <c r="BF18" i="5"/>
  <c r="BF17" i="5"/>
  <c r="BF16" i="5"/>
  <c r="BF15" i="5"/>
  <c r="BF14" i="5"/>
  <c r="BF13" i="5"/>
  <c r="BF12" i="5"/>
  <c r="BF11" i="5"/>
  <c r="BA31" i="5"/>
  <c r="BA29" i="5"/>
  <c r="BA27" i="5"/>
  <c r="BA23" i="5"/>
  <c r="BA19" i="5"/>
  <c r="BA15" i="5"/>
  <c r="BA11" i="5"/>
  <c r="DN109" i="5" l="1"/>
  <c r="DN107" i="5"/>
  <c r="J44" i="54" l="1"/>
  <c r="J43" i="54"/>
  <c r="J42" i="54"/>
  <c r="J41" i="54"/>
  <c r="J40" i="54"/>
  <c r="J39" i="54"/>
  <c r="J38" i="54"/>
  <c r="J37" i="54"/>
  <c r="J36" i="54"/>
  <c r="J31" i="54"/>
  <c r="J30" i="54"/>
  <c r="J29" i="54"/>
  <c r="J28" i="54"/>
  <c r="J27" i="54"/>
  <c r="J26" i="54"/>
  <c r="J25" i="54"/>
  <c r="J24" i="54"/>
  <c r="J23" i="54"/>
  <c r="J22" i="54"/>
  <c r="J21" i="54"/>
  <c r="J20" i="54"/>
  <c r="J19" i="54"/>
  <c r="J15" i="54"/>
  <c r="J14" i="54"/>
  <c r="J7" i="54"/>
  <c r="G4" i="53"/>
  <c r="H5" i="53" s="1"/>
  <c r="D4" i="53" s="1"/>
  <c r="C4" i="53"/>
  <c r="J3" i="54" l="1"/>
  <c r="AW44" i="48" l="1"/>
  <c r="AZ44" i="48" s="1"/>
  <c r="AY44" i="48"/>
  <c r="BA44" i="48"/>
  <c r="AW45" i="48"/>
  <c r="AZ45" i="48" s="1"/>
  <c r="AY45" i="48"/>
  <c r="BA45" i="48"/>
  <c r="AV46" i="48"/>
  <c r="C3" i="43"/>
  <c r="DN130" i="5" l="1"/>
  <c r="AV51" i="5"/>
  <c r="DN128" i="5" s="1"/>
  <c r="AW51" i="5"/>
  <c r="DN129" i="5" s="1"/>
  <c r="DN125" i="5"/>
  <c r="DN132" i="5"/>
  <c r="DN124" i="5"/>
  <c r="DN131" i="5"/>
  <c r="DN123" i="5"/>
  <c r="DK132" i="5"/>
  <c r="DK131" i="5"/>
  <c r="DK130" i="5"/>
  <c r="DK129" i="5"/>
  <c r="DK128" i="5"/>
  <c r="DK127" i="5"/>
  <c r="DK126" i="5"/>
  <c r="DK125" i="5"/>
  <c r="DK124" i="5"/>
  <c r="DK123" i="5"/>
  <c r="DN122" i="5"/>
  <c r="DN113" i="5"/>
  <c r="AV72" i="5"/>
  <c r="DN112" i="5" s="1"/>
  <c r="DN110" i="5"/>
  <c r="DN111" i="5"/>
  <c r="DN115" i="5"/>
  <c r="DN114" i="5"/>
  <c r="AV43" i="5"/>
  <c r="DD97" i="5"/>
  <c r="DD98" i="5"/>
  <c r="DB99" i="5"/>
  <c r="DB98" i="5"/>
  <c r="DB97" i="5"/>
  <c r="AY72" i="5" l="1"/>
  <c r="AY71" i="5" l="1"/>
  <c r="Z144" i="5" l="1"/>
  <c r="Z143" i="5"/>
  <c r="Z142" i="5"/>
  <c r="Z141" i="5"/>
  <c r="Z140" i="5"/>
  <c r="Z139" i="5"/>
  <c r="Z138" i="5"/>
  <c r="Z137" i="5"/>
  <c r="Z136" i="5"/>
  <c r="Z135" i="5"/>
  <c r="Z134" i="5"/>
  <c r="Z133" i="5"/>
  <c r="Z132" i="5"/>
  <c r="AE144" i="5"/>
  <c r="AE143" i="5"/>
  <c r="AE142" i="5"/>
  <c r="AE141" i="5"/>
  <c r="AE140" i="5"/>
  <c r="AE138" i="5"/>
  <c r="AE137" i="5"/>
  <c r="AE136" i="5"/>
  <c r="AE135" i="5"/>
  <c r="AE133" i="5"/>
  <c r="BJ78" i="5" l="1"/>
  <c r="BI78" i="5"/>
  <c r="BD78" i="5"/>
  <c r="AY78" i="5"/>
  <c r="AW78" i="5"/>
  <c r="BP78" i="5" s="1"/>
  <c r="AX77" i="5"/>
  <c r="AX51" i="5"/>
  <c r="DN127" i="5" s="1"/>
  <c r="BJ50" i="5"/>
  <c r="BI50" i="5"/>
  <c r="BD50" i="5"/>
  <c r="BB50" i="5"/>
  <c r="AY50" i="5"/>
  <c r="AW50" i="5"/>
  <c r="BM78" i="5" l="1"/>
  <c r="BN78" i="5"/>
  <c r="AZ78" i="5"/>
  <c r="BK78" i="5" s="1"/>
  <c r="BO78" i="5"/>
  <c r="BL78" i="5"/>
  <c r="BE78" i="5"/>
  <c r="BF78" i="5" s="1"/>
  <c r="AY51" i="5"/>
  <c r="BE52" i="5" s="1"/>
  <c r="BF52" i="5" s="1"/>
  <c r="AZ50" i="5"/>
  <c r="BK50" i="5" s="1"/>
  <c r="BD38" i="5" l="1"/>
  <c r="BB35" i="5"/>
  <c r="BB37" i="5"/>
  <c r="AW37" i="5"/>
  <c r="AW38" i="5" s="1"/>
  <c r="BF38" i="5"/>
  <c r="BF37" i="5"/>
  <c r="AY37" i="5"/>
  <c r="AZ37" i="5" l="1"/>
  <c r="BK38" i="5" l="1"/>
  <c r="BK37" i="5"/>
  <c r="AW15" i="5" l="1"/>
  <c r="AW11" i="5"/>
  <c r="BP15" i="5"/>
  <c r="BP11" i="5"/>
  <c r="BN15" i="5"/>
  <c r="BO11" i="5"/>
  <c r="BN11" i="5"/>
  <c r="BO15" i="5"/>
  <c r="BH15" i="5" l="1"/>
  <c r="BJ15" i="5" l="1"/>
  <c r="AW14" i="5"/>
  <c r="BD14" i="5"/>
  <c r="BD13" i="5"/>
  <c r="BD12" i="5"/>
  <c r="BD11" i="5"/>
  <c r="BD19" i="5"/>
  <c r="AY23" i="5"/>
  <c r="AY11" i="5"/>
  <c r="AY15" i="5"/>
  <c r="BH11" i="5"/>
  <c r="AW19" i="5"/>
  <c r="BO19" i="5"/>
  <c r="BN19" i="5"/>
  <c r="BP19" i="5"/>
  <c r="AX14" i="5" l="1"/>
  <c r="BH14" i="5" s="1"/>
  <c r="AZ19" i="5"/>
  <c r="BK19" i="5" s="1"/>
  <c r="AZ11" i="5"/>
  <c r="AW16" i="5"/>
  <c r="AW17" i="5"/>
  <c r="AW18" i="5"/>
  <c r="AZ15" i="5"/>
  <c r="BJ11" i="5"/>
  <c r="BJ14" i="5"/>
  <c r="AW12" i="5"/>
  <c r="AW13" i="5"/>
  <c r="AV8" i="11"/>
  <c r="BO14" i="5"/>
  <c r="BP14" i="5"/>
  <c r="BN16" i="5"/>
  <c r="BN14" i="5"/>
  <c r="BP17" i="5"/>
  <c r="BO18" i="5"/>
  <c r="BK11" i="5" l="1"/>
  <c r="BK14" i="5"/>
  <c r="AX16" i="5"/>
  <c r="BH16" i="5" s="1"/>
  <c r="BK13" i="5"/>
  <c r="BJ16" i="5"/>
  <c r="BK12" i="5"/>
  <c r="BJ17" i="5"/>
  <c r="AX17" i="5"/>
  <c r="BH17" i="5" s="1"/>
  <c r="BJ18" i="5"/>
  <c r="AX18" i="5"/>
  <c r="BH18" i="5" s="1"/>
  <c r="BK15" i="5"/>
  <c r="BK18" i="5"/>
  <c r="BK16" i="5"/>
  <c r="BK17" i="5"/>
  <c r="AX12" i="5"/>
  <c r="BH12" i="5" s="1"/>
  <c r="BJ12" i="5"/>
  <c r="AX13" i="5"/>
  <c r="BH13" i="5" s="1"/>
  <c r="BJ13" i="5"/>
  <c r="BN17" i="5"/>
  <c r="BP13" i="5"/>
  <c r="BO12" i="5"/>
  <c r="BP18" i="5"/>
  <c r="BO17" i="5"/>
  <c r="BP16" i="5"/>
  <c r="BN12" i="5"/>
  <c r="BN13" i="5"/>
  <c r="BP12" i="5"/>
  <c r="BN18" i="5"/>
  <c r="BO16" i="5"/>
  <c r="BO13" i="5"/>
  <c r="AE5" i="5" l="1"/>
  <c r="BI34" i="5"/>
  <c r="BI32" i="5"/>
  <c r="BI33" i="5"/>
  <c r="BI31" i="5"/>
  <c r="B13" i="11"/>
  <c r="V127" i="48" l="1"/>
  <c r="AE127" i="48" s="1"/>
  <c r="J128" i="48"/>
  <c r="J129" i="48"/>
  <c r="V126" i="48"/>
  <c r="AE126" i="48" s="1"/>
  <c r="V128" i="48"/>
  <c r="AE128" i="48" s="1"/>
  <c r="AP5" i="48"/>
  <c r="V129" i="48"/>
  <c r="AE129" i="48" s="1"/>
  <c r="J127" i="48"/>
  <c r="AE130" i="5"/>
  <c r="AP148" i="48"/>
  <c r="J130" i="48"/>
  <c r="V130" i="48"/>
  <c r="AE130" i="48" s="1"/>
  <c r="AE127" i="5"/>
  <c r="AE128" i="5"/>
  <c r="CP154" i="5" l="1"/>
  <c r="CP153" i="5"/>
  <c r="CP150" i="5"/>
  <c r="CP147" i="5"/>
  <c r="L4" i="5" l="1"/>
  <c r="AH5" i="5"/>
  <c r="AE134" i="5"/>
  <c r="AV116" i="5"/>
  <c r="DN26" i="5"/>
  <c r="AV43" i="11"/>
  <c r="AV2" i="11"/>
  <c r="AV3" i="11"/>
  <c r="AV87" i="11"/>
  <c r="AV8" i="5"/>
  <c r="AX8" i="5" s="1"/>
  <c r="B5" i="5"/>
  <c r="B8" i="5"/>
  <c r="CP6" i="5"/>
  <c r="CP7" i="5"/>
  <c r="CP3" i="5"/>
  <c r="CP4" i="5"/>
  <c r="CP5" i="5"/>
  <c r="CP10" i="5"/>
  <c r="CP13" i="5"/>
  <c r="CP14" i="5"/>
  <c r="CP9" i="5"/>
  <c r="CP18" i="5"/>
  <c r="CP17" i="5"/>
  <c r="CP20" i="5"/>
  <c r="J34" i="11"/>
  <c r="CP19" i="5" s="1"/>
  <c r="CP22" i="5"/>
  <c r="CP23" i="5"/>
  <c r="CP24" i="5"/>
  <c r="CP25" i="5"/>
  <c r="CP26" i="5"/>
  <c r="CP27" i="5"/>
  <c r="CP28" i="5"/>
  <c r="CP31" i="5"/>
  <c r="CP30" i="5"/>
  <c r="CP32" i="5"/>
  <c r="CP33" i="5"/>
  <c r="CP34" i="5"/>
  <c r="CP45" i="5"/>
  <c r="CP47" i="5"/>
  <c r="CP46" i="5"/>
  <c r="CP48" i="5"/>
  <c r="CP53" i="5"/>
  <c r="CP57" i="5"/>
  <c r="CP56" i="5"/>
  <c r="CP58" i="5"/>
  <c r="CP62" i="5"/>
  <c r="CP60" i="5"/>
  <c r="CP61" i="5"/>
  <c r="CP64" i="5"/>
  <c r="CP65" i="5"/>
  <c r="CP66" i="5"/>
  <c r="CP67" i="5"/>
  <c r="CP68" i="5"/>
  <c r="CP69" i="5"/>
  <c r="CP78" i="5"/>
  <c r="CP74" i="5"/>
  <c r="CP75" i="5"/>
  <c r="CP79" i="5"/>
  <c r="CP76" i="5"/>
  <c r="CP77" i="5"/>
  <c r="CP80" i="5"/>
  <c r="CP81" i="5"/>
  <c r="CP82" i="5"/>
  <c r="CP88" i="5"/>
  <c r="CP89" i="5"/>
  <c r="CP91" i="5"/>
  <c r="CP90" i="5"/>
  <c r="CP93" i="5"/>
  <c r="CP92" i="5"/>
  <c r="CP94" i="5"/>
  <c r="CP95" i="5"/>
  <c r="CP96" i="5"/>
  <c r="CP99" i="5"/>
  <c r="CP100" i="5"/>
  <c r="CP101" i="5"/>
  <c r="CP103" i="5"/>
  <c r="CP104" i="5"/>
  <c r="CP102" i="5"/>
  <c r="CP35" i="5"/>
  <c r="CP49" i="5"/>
  <c r="J70" i="11"/>
  <c r="CP51" i="5" s="1"/>
  <c r="CP29" i="5"/>
  <c r="CP59" i="5"/>
  <c r="CP52" i="5"/>
  <c r="CP40" i="5"/>
  <c r="CP41" i="5"/>
  <c r="CP42" i="5"/>
  <c r="CP37" i="5"/>
  <c r="J51" i="11"/>
  <c r="CP38" i="5" s="1"/>
  <c r="CP39" i="5"/>
  <c r="AY33" i="5"/>
  <c r="AY35" i="5"/>
  <c r="AY44" i="5"/>
  <c r="BE44" i="5" s="1"/>
  <c r="BF44" i="5" s="1"/>
  <c r="AY45" i="5"/>
  <c r="AW45" i="5"/>
  <c r="AZ45" i="5" s="1"/>
  <c r="AY19" i="5"/>
  <c r="AY27" i="5"/>
  <c r="AY29" i="5"/>
  <c r="AW20" i="5"/>
  <c r="BB94" i="5"/>
  <c r="BB95" i="5" s="1"/>
  <c r="BH19" i="5"/>
  <c r="BD20" i="5"/>
  <c r="BD21" i="5"/>
  <c r="BD22" i="5"/>
  <c r="BH23" i="5"/>
  <c r="AW27" i="5"/>
  <c r="BB27" i="5"/>
  <c r="BD27" i="5"/>
  <c r="BD28" i="5" s="1"/>
  <c r="BF27" i="5"/>
  <c r="BF28" i="5"/>
  <c r="AW29" i="5"/>
  <c r="AZ29" i="5" s="1"/>
  <c r="BB29" i="5"/>
  <c r="BD29" i="5"/>
  <c r="BD30" i="5" s="1"/>
  <c r="BF29" i="5"/>
  <c r="BF30" i="5"/>
  <c r="AY31" i="5"/>
  <c r="AW31" i="5"/>
  <c r="AZ31" i="5" s="1"/>
  <c r="BB31" i="5"/>
  <c r="BD31" i="5"/>
  <c r="BD32" i="5" s="1"/>
  <c r="BF31" i="5"/>
  <c r="BF32" i="5"/>
  <c r="AW33" i="5"/>
  <c r="BB33" i="5"/>
  <c r="BD34" i="5"/>
  <c r="BF33" i="5"/>
  <c r="BF34" i="5"/>
  <c r="AW35" i="5"/>
  <c r="AZ35" i="5" s="1"/>
  <c r="BD36" i="5"/>
  <c r="BF35" i="5"/>
  <c r="BF36" i="5"/>
  <c r="BB44" i="5"/>
  <c r="BD44" i="5"/>
  <c r="BD52" i="5" s="1"/>
  <c r="BI44" i="5"/>
  <c r="BB45" i="5"/>
  <c r="BD45" i="5"/>
  <c r="BI45" i="5"/>
  <c r="BJ45" i="5"/>
  <c r="AY47" i="5"/>
  <c r="BE47" i="5" s="1"/>
  <c r="AW47" i="5"/>
  <c r="BO47" i="5" s="1"/>
  <c r="BB47" i="5"/>
  <c r="BD47" i="5"/>
  <c r="BG47" i="5"/>
  <c r="BH47" i="5" s="1"/>
  <c r="BI47" i="5"/>
  <c r="BJ47" i="5"/>
  <c r="BJ48" i="5" s="1"/>
  <c r="BJ49" i="5" s="1"/>
  <c r="AY48" i="5"/>
  <c r="BB48" i="5"/>
  <c r="BD48" i="5"/>
  <c r="BG48" i="5"/>
  <c r="BH48" i="5" s="1"/>
  <c r="BI48" i="5"/>
  <c r="AY49" i="5"/>
  <c r="BE50" i="5" s="1"/>
  <c r="BF50" i="5" s="1"/>
  <c r="BB49" i="5"/>
  <c r="BD49" i="5"/>
  <c r="BG49" i="5"/>
  <c r="BH49" i="5" s="1"/>
  <c r="BI49" i="5"/>
  <c r="AY60" i="5"/>
  <c r="AW60" i="5"/>
  <c r="BD60" i="5"/>
  <c r="BI60" i="5"/>
  <c r="BJ60" i="5"/>
  <c r="AY61" i="5"/>
  <c r="DN91" i="5" s="1"/>
  <c r="AY64" i="5"/>
  <c r="BE64" i="5" s="1"/>
  <c r="AW64" i="5"/>
  <c r="BD64" i="5"/>
  <c r="BI64" i="5"/>
  <c r="BJ64" i="5"/>
  <c r="AY65" i="5"/>
  <c r="AW65" i="5"/>
  <c r="BD65" i="5"/>
  <c r="BI65" i="5"/>
  <c r="BJ65" i="5"/>
  <c r="AY67" i="5"/>
  <c r="AW67" i="5"/>
  <c r="BD67" i="5"/>
  <c r="BI67" i="5"/>
  <c r="BJ67" i="5"/>
  <c r="AW71" i="5"/>
  <c r="AZ71" i="5" s="1"/>
  <c r="BK71" i="5" s="1"/>
  <c r="BD71" i="5"/>
  <c r="BE71" i="5"/>
  <c r="BI71" i="5"/>
  <c r="BJ71" i="5"/>
  <c r="AY75" i="5"/>
  <c r="AW75" i="5"/>
  <c r="AZ75" i="5" s="1"/>
  <c r="BK75" i="5" s="1"/>
  <c r="BD75" i="5"/>
  <c r="BI75" i="5"/>
  <c r="BJ75" i="5"/>
  <c r="AW94" i="5"/>
  <c r="AW95" i="5" s="1"/>
  <c r="BD94" i="5"/>
  <c r="BF94" i="5"/>
  <c r="AX94" i="5"/>
  <c r="BH94" i="5" s="1"/>
  <c r="BD95" i="5"/>
  <c r="BF95" i="5"/>
  <c r="AX95" i="5"/>
  <c r="BH95" i="5" s="1"/>
  <c r="AY96" i="5"/>
  <c r="AW96" i="5"/>
  <c r="AW97" i="5" s="1"/>
  <c r="BD96" i="5"/>
  <c r="BF96" i="5"/>
  <c r="AX96" i="5"/>
  <c r="BH96" i="5" s="1"/>
  <c r="BB97" i="5"/>
  <c r="BB98" i="5" s="1"/>
  <c r="BD97" i="5"/>
  <c r="BF97" i="5"/>
  <c r="AX97" i="5"/>
  <c r="BH97" i="5" s="1"/>
  <c r="BD98" i="5"/>
  <c r="BF98" i="5"/>
  <c r="AX98" i="5"/>
  <c r="BH98" i="5" s="1"/>
  <c r="AV109" i="5"/>
  <c r="AY109" i="5" s="1"/>
  <c r="AV62" i="5"/>
  <c r="DB3" i="5"/>
  <c r="DB4" i="5"/>
  <c r="DB5" i="5"/>
  <c r="DB6" i="5"/>
  <c r="DB7" i="5"/>
  <c r="DB8" i="5"/>
  <c r="DB9" i="5"/>
  <c r="DB10" i="5"/>
  <c r="DU11" i="5"/>
  <c r="DU12" i="5"/>
  <c r="DU13" i="5"/>
  <c r="DU14" i="5"/>
  <c r="DU15" i="5"/>
  <c r="DU16" i="5"/>
  <c r="DB18" i="5"/>
  <c r="DB19" i="5"/>
  <c r="DB20" i="5"/>
  <c r="DB21" i="5"/>
  <c r="DB22" i="5"/>
  <c r="DB23" i="5"/>
  <c r="DB24" i="5"/>
  <c r="DB25" i="5"/>
  <c r="DB26" i="5"/>
  <c r="DB27" i="5"/>
  <c r="DB28" i="5"/>
  <c r="DB29" i="5"/>
  <c r="DB30" i="5"/>
  <c r="DB31" i="5"/>
  <c r="DB32" i="5"/>
  <c r="DB33" i="5"/>
  <c r="DB34" i="5"/>
  <c r="DB35" i="5"/>
  <c r="DB36" i="5"/>
  <c r="DB37" i="5"/>
  <c r="DB38" i="5"/>
  <c r="DB39" i="5"/>
  <c r="DN5" i="5"/>
  <c r="DB40" i="5"/>
  <c r="DN6" i="5"/>
  <c r="DB41" i="5"/>
  <c r="DN7" i="5"/>
  <c r="DB42" i="5"/>
  <c r="DN8" i="5"/>
  <c r="DB43" i="5"/>
  <c r="DN9" i="5"/>
  <c r="DB44" i="5"/>
  <c r="DU44" i="5"/>
  <c r="DB45" i="5"/>
  <c r="DB46" i="5"/>
  <c r="DB47" i="5"/>
  <c r="DN13" i="5"/>
  <c r="DB48" i="5"/>
  <c r="DN14" i="5"/>
  <c r="DB49" i="5"/>
  <c r="DN15" i="5"/>
  <c r="DB50" i="5"/>
  <c r="DB51" i="5"/>
  <c r="DB52" i="5"/>
  <c r="DB53" i="5"/>
  <c r="DB54" i="5"/>
  <c r="DB55" i="5"/>
  <c r="DN21" i="5"/>
  <c r="DB56" i="5"/>
  <c r="DB57" i="5"/>
  <c r="DN23" i="5"/>
  <c r="DB58" i="5"/>
  <c r="DN24" i="5"/>
  <c r="DB59" i="5"/>
  <c r="DN25" i="5"/>
  <c r="DB60" i="5"/>
  <c r="DB61" i="5"/>
  <c r="DB62" i="5"/>
  <c r="AW88" i="11"/>
  <c r="DB63" i="5"/>
  <c r="AV110" i="5"/>
  <c r="DN29" i="5" s="1"/>
  <c r="DB64" i="5"/>
  <c r="AV111" i="5"/>
  <c r="DN30" i="5" s="1"/>
  <c r="DB65" i="5"/>
  <c r="DN31" i="5"/>
  <c r="DB66" i="5"/>
  <c r="DB67" i="5"/>
  <c r="DB68" i="5"/>
  <c r="DN34" i="5"/>
  <c r="DB69" i="5"/>
  <c r="DN35" i="5"/>
  <c r="DB70" i="5"/>
  <c r="DB71" i="5"/>
  <c r="DN37" i="5"/>
  <c r="DB72" i="5"/>
  <c r="DN38" i="5"/>
  <c r="DB73" i="5"/>
  <c r="DN39" i="5"/>
  <c r="DB74" i="5"/>
  <c r="DN40" i="5"/>
  <c r="DB75" i="5"/>
  <c r="DN41" i="5"/>
  <c r="DB76" i="5"/>
  <c r="DN42" i="5"/>
  <c r="DB77" i="5"/>
  <c r="DN43" i="5"/>
  <c r="DB78" i="5"/>
  <c r="DN44" i="5"/>
  <c r="DB79" i="5"/>
  <c r="DB80" i="5"/>
  <c r="DB81" i="5"/>
  <c r="DD81" i="5"/>
  <c r="G4" i="29"/>
  <c r="AW25" i="5" s="1"/>
  <c r="DB82" i="5"/>
  <c r="DD82" i="5"/>
  <c r="DB83" i="5"/>
  <c r="DD83" i="5"/>
  <c r="DN49" i="5"/>
  <c r="DB84" i="5"/>
  <c r="DD84" i="5"/>
  <c r="DN50" i="5"/>
  <c r="DB85" i="5"/>
  <c r="DD85" i="5"/>
  <c r="DN51" i="5"/>
  <c r="DB86" i="5"/>
  <c r="DD86" i="5"/>
  <c r="DN52" i="5"/>
  <c r="DB87" i="5"/>
  <c r="DD87" i="5"/>
  <c r="DB88" i="5"/>
  <c r="DD88" i="5"/>
  <c r="DN55" i="5"/>
  <c r="DB90" i="5"/>
  <c r="DD90" i="5"/>
  <c r="DN56" i="5"/>
  <c r="DB91" i="5"/>
  <c r="DD91" i="5"/>
  <c r="DN57" i="5"/>
  <c r="DB92" i="5"/>
  <c r="DD92" i="5"/>
  <c r="DB93" i="5"/>
  <c r="DD93" i="5"/>
  <c r="DN59" i="5"/>
  <c r="DB94" i="5"/>
  <c r="DD94" i="5"/>
  <c r="DN60" i="5"/>
  <c r="DD95" i="5"/>
  <c r="DN61" i="5"/>
  <c r="DB96" i="5"/>
  <c r="DD96" i="5"/>
  <c r="DN62" i="5"/>
  <c r="DN63" i="5"/>
  <c r="DN64" i="5"/>
  <c r="DN67" i="5"/>
  <c r="DN69" i="5"/>
  <c r="DN70" i="5"/>
  <c r="DN71" i="5"/>
  <c r="DN76" i="5"/>
  <c r="DN77" i="5"/>
  <c r="DN78" i="5"/>
  <c r="DN79" i="5"/>
  <c r="DN81" i="5"/>
  <c r="DN82" i="5"/>
  <c r="AV61" i="5"/>
  <c r="DN84" i="5" s="1"/>
  <c r="DN86" i="5"/>
  <c r="DN87" i="5"/>
  <c r="DN88" i="5"/>
  <c r="DN89" i="5"/>
  <c r="DN92" i="5"/>
  <c r="DN93" i="5"/>
  <c r="DN94" i="5"/>
  <c r="DN95" i="5"/>
  <c r="AV66" i="5"/>
  <c r="DN96" i="5" s="1"/>
  <c r="DN97" i="5"/>
  <c r="DN98" i="5"/>
  <c r="DN99" i="5"/>
  <c r="DN100" i="5"/>
  <c r="DN101" i="5"/>
  <c r="DN102" i="5"/>
  <c r="DN103" i="5"/>
  <c r="AV68" i="5"/>
  <c r="AV69" i="5"/>
  <c r="DN105" i="5" s="1"/>
  <c r="DN106" i="5"/>
  <c r="DN108" i="5"/>
  <c r="DN116" i="5"/>
  <c r="DN117" i="5"/>
  <c r="AV76" i="5"/>
  <c r="AV77" i="5"/>
  <c r="DN119" i="5" s="1"/>
  <c r="DN120" i="5"/>
  <c r="DN121" i="5"/>
  <c r="AW68" i="5"/>
  <c r="AU1" i="48"/>
  <c r="DK122" i="5"/>
  <c r="DK121" i="5"/>
  <c r="DK120" i="5"/>
  <c r="DK119" i="5"/>
  <c r="DK118" i="5"/>
  <c r="DK117" i="5"/>
  <c r="DK116" i="5"/>
  <c r="DK115" i="5"/>
  <c r="DK114" i="5"/>
  <c r="AW76" i="5"/>
  <c r="AW77" i="5"/>
  <c r="AV42" i="5"/>
  <c r="AV155" i="48"/>
  <c r="AH5" i="48" s="1"/>
  <c r="AE144" i="48"/>
  <c r="AE143" i="48"/>
  <c r="AE142" i="48"/>
  <c r="AE141" i="48"/>
  <c r="AE140" i="48"/>
  <c r="AE139" i="48"/>
  <c r="AE138" i="48"/>
  <c r="AE137" i="48"/>
  <c r="AE136" i="48"/>
  <c r="AE135" i="48"/>
  <c r="AE133" i="48"/>
  <c r="AE132" i="48"/>
  <c r="M122" i="48"/>
  <c r="AW115" i="48"/>
  <c r="DN113" i="48"/>
  <c r="DK113" i="48"/>
  <c r="DN112" i="48"/>
  <c r="DK112" i="48"/>
  <c r="DN111" i="48"/>
  <c r="DK111" i="48"/>
  <c r="AW111" i="48"/>
  <c r="AV111" i="48"/>
  <c r="DN30" i="48" s="1"/>
  <c r="DK110" i="48"/>
  <c r="AV110" i="48"/>
  <c r="DN29" i="48" s="1"/>
  <c r="DN109" i="48"/>
  <c r="DK109" i="48"/>
  <c r="AV109" i="48"/>
  <c r="AX109" i="48" s="1"/>
  <c r="DN108" i="48"/>
  <c r="DK108" i="48"/>
  <c r="DN107" i="48"/>
  <c r="DK107" i="48"/>
  <c r="DN106" i="48"/>
  <c r="DK106" i="48"/>
  <c r="DK105" i="48"/>
  <c r="DK104" i="48"/>
  <c r="CP104" i="48"/>
  <c r="DN103" i="48"/>
  <c r="DK103" i="48"/>
  <c r="CP103" i="48"/>
  <c r="DN102" i="48"/>
  <c r="DK102" i="48"/>
  <c r="CP102" i="48"/>
  <c r="DN101" i="48"/>
  <c r="DK101" i="48"/>
  <c r="CP101" i="48"/>
  <c r="AH101" i="48"/>
  <c r="L101" i="48"/>
  <c r="DN100" i="48"/>
  <c r="DK100" i="48"/>
  <c r="CP100" i="48"/>
  <c r="DN99" i="48"/>
  <c r="DK99" i="48"/>
  <c r="CP99" i="48"/>
  <c r="DN98" i="48"/>
  <c r="DK98" i="48"/>
  <c r="CP98" i="48"/>
  <c r="BF98" i="48"/>
  <c r="BD98" i="48"/>
  <c r="AX98" i="48"/>
  <c r="BH98" i="48" s="1"/>
  <c r="DN97" i="48"/>
  <c r="DK97" i="48"/>
  <c r="CP97" i="48"/>
  <c r="BF97" i="48"/>
  <c r="BD97" i="48"/>
  <c r="BB97" i="48"/>
  <c r="BB98" i="48" s="1"/>
  <c r="AX97" i="48"/>
  <c r="BH97" i="48" s="1"/>
  <c r="U97" i="48"/>
  <c r="DK96" i="48"/>
  <c r="CP96" i="48"/>
  <c r="BF96" i="48"/>
  <c r="BD96" i="48"/>
  <c r="AY96" i="48"/>
  <c r="AX96" i="48"/>
  <c r="BH96" i="48" s="1"/>
  <c r="AW96" i="48"/>
  <c r="BP96" i="48" s="1"/>
  <c r="U96" i="48"/>
  <c r="DN95" i="48"/>
  <c r="DK95" i="48"/>
  <c r="DD95" i="48"/>
  <c r="DB95" i="48"/>
  <c r="CP95" i="48"/>
  <c r="AX95" i="48"/>
  <c r="BH95" i="48" s="1"/>
  <c r="BF95" i="48"/>
  <c r="BD95" i="48"/>
  <c r="DN94" i="48"/>
  <c r="DK94" i="48"/>
  <c r="DD94" i="48"/>
  <c r="DB94" i="48"/>
  <c r="CP94" i="48"/>
  <c r="AW94" i="48"/>
  <c r="BP94" i="48" s="1"/>
  <c r="BF94" i="48"/>
  <c r="BD94" i="48"/>
  <c r="AX94" i="48"/>
  <c r="BH94" i="48" s="1"/>
  <c r="DN93" i="48"/>
  <c r="DK93" i="48"/>
  <c r="DD93" i="48"/>
  <c r="DB93" i="48"/>
  <c r="CP93" i="48"/>
  <c r="O93" i="48"/>
  <c r="DN92" i="48"/>
  <c r="DK92" i="48"/>
  <c r="DD92" i="48"/>
  <c r="DB92" i="48"/>
  <c r="CP92" i="48"/>
  <c r="AV92" i="48"/>
  <c r="DN34" i="48" s="1"/>
  <c r="DK91" i="48"/>
  <c r="DD91" i="48"/>
  <c r="DB91" i="48"/>
  <c r="CP91" i="48"/>
  <c r="DK90" i="48"/>
  <c r="DD90" i="48"/>
  <c r="DB90" i="48"/>
  <c r="CP90" i="48"/>
  <c r="DN89" i="48"/>
  <c r="DK89" i="48"/>
  <c r="DD89" i="48"/>
  <c r="DB89" i="48"/>
  <c r="CP89" i="48"/>
  <c r="AY89" i="48"/>
  <c r="AX89" i="48"/>
  <c r="DN88" i="48"/>
  <c r="DK88" i="48"/>
  <c r="DD88" i="48"/>
  <c r="DB88" i="48"/>
  <c r="CP88" i="48"/>
  <c r="DN87" i="48"/>
  <c r="DK87" i="48"/>
  <c r="DD87" i="48"/>
  <c r="DB87" i="48"/>
  <c r="CP87" i="48"/>
  <c r="DN86" i="48"/>
  <c r="DK86" i="48"/>
  <c r="DD86" i="48"/>
  <c r="DB86" i="48"/>
  <c r="CP86" i="48"/>
  <c r="DK85" i="48"/>
  <c r="DD85" i="48"/>
  <c r="DB85" i="48"/>
  <c r="DK84" i="48"/>
  <c r="DD84" i="48"/>
  <c r="DB84" i="48"/>
  <c r="CA84" i="48"/>
  <c r="DK83" i="48"/>
  <c r="DD83" i="48"/>
  <c r="DB83" i="48"/>
  <c r="CP83" i="48"/>
  <c r="CA83" i="48"/>
  <c r="DN82" i="48"/>
  <c r="DK82" i="48"/>
  <c r="DD82" i="48"/>
  <c r="DB82" i="48"/>
  <c r="CP82" i="48"/>
  <c r="CA82" i="48"/>
  <c r="DK81" i="48"/>
  <c r="DD81" i="48"/>
  <c r="DB81" i="48"/>
  <c r="CP81" i="48"/>
  <c r="CA81" i="48"/>
  <c r="DN80" i="48"/>
  <c r="DK80" i="48"/>
  <c r="DB80" i="48"/>
  <c r="CP80" i="48"/>
  <c r="CA80" i="48"/>
  <c r="DN79" i="48"/>
  <c r="DK79" i="48"/>
  <c r="DD79" i="48"/>
  <c r="DB79" i="48"/>
  <c r="CP79" i="48"/>
  <c r="CA79" i="48"/>
  <c r="DN78" i="48"/>
  <c r="DK78" i="48"/>
  <c r="DB78" i="48"/>
  <c r="CP78" i="48"/>
  <c r="CA78" i="48"/>
  <c r="DN77" i="48"/>
  <c r="DK77" i="48"/>
  <c r="DB77" i="48"/>
  <c r="CP77" i="48"/>
  <c r="CA77" i="48"/>
  <c r="DN76" i="48"/>
  <c r="DK76" i="48"/>
  <c r="DB76" i="48"/>
  <c r="CP76" i="48"/>
  <c r="CA76" i="48"/>
  <c r="DK75" i="48"/>
  <c r="DB75" i="48"/>
  <c r="CP75" i="48"/>
  <c r="CA75" i="48"/>
  <c r="DK74" i="48"/>
  <c r="DB74" i="48"/>
  <c r="CP74" i="48"/>
  <c r="CA74" i="48"/>
  <c r="DN73" i="48"/>
  <c r="DK73" i="48"/>
  <c r="DB73" i="48"/>
  <c r="CA73" i="48"/>
  <c r="AW73" i="48"/>
  <c r="AV73" i="48"/>
  <c r="DN110" i="48" s="1"/>
  <c r="DN72" i="48"/>
  <c r="DK72" i="48"/>
  <c r="DB72" i="48"/>
  <c r="CA72" i="48"/>
  <c r="AV72" i="48"/>
  <c r="DN71" i="48"/>
  <c r="DK71" i="48"/>
  <c r="DB71" i="48"/>
  <c r="CA71" i="48"/>
  <c r="AW71" i="48"/>
  <c r="BP71" i="48" s="1"/>
  <c r="BL71" i="48"/>
  <c r="BJ71" i="48"/>
  <c r="BI71" i="48"/>
  <c r="BD71" i="48"/>
  <c r="BA71" i="48"/>
  <c r="AY71" i="48"/>
  <c r="BE71" i="48" s="1"/>
  <c r="BF71" i="48" s="1"/>
  <c r="DN70" i="48"/>
  <c r="DK70" i="48"/>
  <c r="DB70" i="48"/>
  <c r="CA70" i="48"/>
  <c r="DN69" i="48"/>
  <c r="DK69" i="48"/>
  <c r="DB69" i="48"/>
  <c r="CP69" i="48"/>
  <c r="CA69" i="48"/>
  <c r="AW69" i="48"/>
  <c r="AV69" i="48"/>
  <c r="DN105" i="48" s="1"/>
  <c r="DN68" i="48"/>
  <c r="DK68" i="48"/>
  <c r="DB68" i="48"/>
  <c r="CP68" i="48"/>
  <c r="CP70" i="48" s="1"/>
  <c r="CA68" i="48"/>
  <c r="AX68" i="48"/>
  <c r="AW68" i="48"/>
  <c r="AV68" i="48"/>
  <c r="DN104" i="48" s="1"/>
  <c r="DN67" i="48"/>
  <c r="DK67" i="48"/>
  <c r="DB67" i="48"/>
  <c r="CP67" i="48"/>
  <c r="CA67" i="48"/>
  <c r="BJ67" i="48"/>
  <c r="BI67" i="48"/>
  <c r="BD67" i="48"/>
  <c r="BA67" i="48"/>
  <c r="AY67" i="48"/>
  <c r="AY65" i="48"/>
  <c r="AW67" i="48"/>
  <c r="BP67" i="48" s="1"/>
  <c r="DN66" i="48"/>
  <c r="DK66" i="48"/>
  <c r="DB66" i="48"/>
  <c r="CP66" i="48"/>
  <c r="CA66" i="48"/>
  <c r="AV66" i="48"/>
  <c r="DN96" i="48" s="1"/>
  <c r="DK65" i="48"/>
  <c r="DB65" i="48"/>
  <c r="CP65" i="48"/>
  <c r="CA65" i="48"/>
  <c r="AW65" i="48"/>
  <c r="BP65" i="48" s="1"/>
  <c r="BM65" i="48"/>
  <c r="BL65" i="48"/>
  <c r="BJ65" i="48"/>
  <c r="BI65" i="48"/>
  <c r="BD65" i="48"/>
  <c r="BA65" i="48"/>
  <c r="AY64" i="48"/>
  <c r="BN65" i="48"/>
  <c r="DK64" i="48"/>
  <c r="DB64" i="48"/>
  <c r="CP64" i="48"/>
  <c r="CA64" i="48"/>
  <c r="AW64" i="48"/>
  <c r="BP64" i="48" s="1"/>
  <c r="BL64" i="48"/>
  <c r="BJ64" i="48"/>
  <c r="BI64" i="48"/>
  <c r="BD64" i="48"/>
  <c r="BA64" i="48"/>
  <c r="DN63" i="48"/>
  <c r="DK63" i="48"/>
  <c r="DB63" i="48"/>
  <c r="CA63" i="48"/>
  <c r="DN62" i="48"/>
  <c r="DK62" i="48"/>
  <c r="DB62" i="48"/>
  <c r="CP62" i="48"/>
  <c r="CP63" i="48" s="1"/>
  <c r="CA62" i="48"/>
  <c r="AW62" i="48"/>
  <c r="AV62" i="48"/>
  <c r="DN85" i="48" s="1"/>
  <c r="DN61" i="48"/>
  <c r="DK61" i="48"/>
  <c r="DB61" i="48"/>
  <c r="CP61" i="48"/>
  <c r="CA61" i="48"/>
  <c r="AY61" i="48"/>
  <c r="DN91" i="48" s="1"/>
  <c r="AW61" i="48"/>
  <c r="AV61" i="48"/>
  <c r="DN84" i="48" s="1"/>
  <c r="DN60" i="48"/>
  <c r="DK60" i="48"/>
  <c r="DB60" i="48"/>
  <c r="CP60" i="48"/>
  <c r="CA60" i="48"/>
  <c r="BJ60" i="48"/>
  <c r="BI60" i="48"/>
  <c r="BD60" i="48"/>
  <c r="BA60" i="48"/>
  <c r="AY60" i="48"/>
  <c r="BE60" i="48" s="1"/>
  <c r="AW60" i="48"/>
  <c r="DN59" i="48"/>
  <c r="DK59" i="48"/>
  <c r="DB59" i="48"/>
  <c r="CP59" i="48"/>
  <c r="CA59" i="48"/>
  <c r="DN58" i="48"/>
  <c r="DK58" i="48"/>
  <c r="DB58" i="48"/>
  <c r="CP58" i="48"/>
  <c r="CA58" i="48"/>
  <c r="DN57" i="48"/>
  <c r="DK57" i="48"/>
  <c r="DB57" i="48"/>
  <c r="CP57" i="48"/>
  <c r="CA57" i="48"/>
  <c r="DN56" i="48"/>
  <c r="DK56" i="48"/>
  <c r="DB56" i="48"/>
  <c r="CP56" i="48"/>
  <c r="CA56" i="48"/>
  <c r="DN55" i="48"/>
  <c r="DK55" i="48"/>
  <c r="DB55" i="48"/>
  <c r="CA55" i="48"/>
  <c r="DK54" i="48"/>
  <c r="DB54" i="48"/>
  <c r="CA54" i="48"/>
  <c r="DN53" i="48"/>
  <c r="DK53" i="48"/>
  <c r="DB53" i="48"/>
  <c r="CP53" i="48"/>
  <c r="CA53" i="48"/>
  <c r="DN52" i="48"/>
  <c r="DK52" i="48"/>
  <c r="DB52" i="48"/>
  <c r="CP52" i="48"/>
  <c r="DN64" i="48" s="1"/>
  <c r="CA52" i="48"/>
  <c r="DN51" i="48"/>
  <c r="DK51" i="48"/>
  <c r="DB51" i="48"/>
  <c r="CA51" i="48"/>
  <c r="DN50" i="48"/>
  <c r="DK50" i="48"/>
  <c r="DB50" i="48"/>
  <c r="CA50" i="48"/>
  <c r="DN49" i="48"/>
  <c r="DK49" i="48"/>
  <c r="DB49" i="48"/>
  <c r="CP49" i="48"/>
  <c r="CA49" i="48"/>
  <c r="BI49" i="48"/>
  <c r="BG49" i="48"/>
  <c r="BH49" i="48" s="1"/>
  <c r="BD49" i="48"/>
  <c r="BB49" i="48"/>
  <c r="AY49" i="48"/>
  <c r="DK48" i="48"/>
  <c r="DB48" i="48"/>
  <c r="CP48" i="48"/>
  <c r="DN81" i="48" s="1"/>
  <c r="CA48" i="48"/>
  <c r="BI48" i="48"/>
  <c r="BG48" i="48"/>
  <c r="BH48" i="48" s="1"/>
  <c r="BD48" i="48"/>
  <c r="BB48" i="48"/>
  <c r="AY48" i="48"/>
  <c r="AW47" i="48"/>
  <c r="AW48" i="48" s="1"/>
  <c r="DK47" i="48"/>
  <c r="DB47" i="48"/>
  <c r="CP47" i="48"/>
  <c r="CA47" i="48"/>
  <c r="BJ47" i="48"/>
  <c r="BJ48" i="48" s="1"/>
  <c r="BJ49" i="48" s="1"/>
  <c r="BI47" i="48"/>
  <c r="BG47" i="48"/>
  <c r="BH47" i="48" s="1"/>
  <c r="AY47" i="48"/>
  <c r="BE47" i="48" s="1"/>
  <c r="BD47" i="48"/>
  <c r="BB47" i="48"/>
  <c r="BA47" i="48"/>
  <c r="DN46" i="48"/>
  <c r="DK46" i="48"/>
  <c r="DB46" i="48"/>
  <c r="CP46" i="48"/>
  <c r="CA46" i="48"/>
  <c r="DN65" i="48"/>
  <c r="DK45" i="48"/>
  <c r="DB45" i="48"/>
  <c r="CP45" i="48"/>
  <c r="CA45" i="48"/>
  <c r="BJ45" i="48"/>
  <c r="BI45" i="48"/>
  <c r="BD45" i="48"/>
  <c r="BB45" i="48"/>
  <c r="BK45" i="48"/>
  <c r="DU44" i="48"/>
  <c r="DN44" i="48"/>
  <c r="DK44" i="48"/>
  <c r="DB44" i="48"/>
  <c r="CA44" i="48"/>
  <c r="BJ44" i="48"/>
  <c r="BI44" i="48"/>
  <c r="BD44" i="48"/>
  <c r="BB44" i="48"/>
  <c r="DN43" i="48"/>
  <c r="DK43" i="48"/>
  <c r="DB43" i="48"/>
  <c r="CA43" i="48"/>
  <c r="AV43" i="48"/>
  <c r="DN42" i="48"/>
  <c r="DK42" i="48"/>
  <c r="DB42" i="48"/>
  <c r="CP42" i="48"/>
  <c r="CA42" i="48"/>
  <c r="DN41" i="48"/>
  <c r="DK41" i="48"/>
  <c r="DB41" i="48"/>
  <c r="CP41" i="48"/>
  <c r="CA41" i="48"/>
  <c r="DN40" i="48"/>
  <c r="DK40" i="48"/>
  <c r="DB40" i="48"/>
  <c r="CP40" i="48"/>
  <c r="CA40" i="48"/>
  <c r="DN39" i="48"/>
  <c r="DK39" i="48"/>
  <c r="DB39" i="48"/>
  <c r="CP39" i="48"/>
  <c r="CA39" i="48"/>
  <c r="DN38" i="48"/>
  <c r="DK38" i="48"/>
  <c r="DB38" i="48"/>
  <c r="CA38" i="48"/>
  <c r="DN37" i="48"/>
  <c r="DK37" i="48"/>
  <c r="DB37" i="48"/>
  <c r="CP37" i="48"/>
  <c r="CA37" i="48"/>
  <c r="DN36" i="48"/>
  <c r="DK36" i="48"/>
  <c r="DB36" i="48"/>
  <c r="CA36" i="48"/>
  <c r="BF36" i="48"/>
  <c r="AX36" i="48"/>
  <c r="DN35" i="48"/>
  <c r="DK35" i="48"/>
  <c r="DB35" i="48"/>
  <c r="CP35" i="48"/>
  <c r="CA35" i="48"/>
  <c r="BF35" i="48"/>
  <c r="BD35" i="48"/>
  <c r="BD36" i="48" s="1"/>
  <c r="BB35" i="48"/>
  <c r="BA35" i="48"/>
  <c r="AY35" i="48"/>
  <c r="AX35" i="48"/>
  <c r="AW35" i="48"/>
  <c r="AW36" i="48" s="1"/>
  <c r="BJ36" i="48" s="1"/>
  <c r="DK34" i="48"/>
  <c r="DB34" i="48"/>
  <c r="CP34" i="48"/>
  <c r="CA34" i="48"/>
  <c r="BF34" i="48"/>
  <c r="AX34" i="48"/>
  <c r="DN33" i="48"/>
  <c r="DK33" i="48"/>
  <c r="DB33" i="48"/>
  <c r="CP33" i="48"/>
  <c r="CA33" i="48"/>
  <c r="BF33" i="48"/>
  <c r="BD33" i="48"/>
  <c r="BD34" i="48" s="1"/>
  <c r="BB33" i="48"/>
  <c r="BA33" i="48"/>
  <c r="AY33" i="48"/>
  <c r="AX33" i="48"/>
  <c r="AW33" i="48"/>
  <c r="AW34" i="48" s="1"/>
  <c r="BJ34" i="48" s="1"/>
  <c r="DN32" i="48"/>
  <c r="DK32" i="48"/>
  <c r="DB32" i="48"/>
  <c r="CP32" i="48"/>
  <c r="CA32" i="48"/>
  <c r="BF32" i="48"/>
  <c r="AX32" i="48"/>
  <c r="DN31" i="48"/>
  <c r="DK31" i="48"/>
  <c r="DB31" i="48"/>
  <c r="CP31" i="48"/>
  <c r="CA31" i="48"/>
  <c r="BF31" i="48"/>
  <c r="BD31" i="48"/>
  <c r="BD32" i="48" s="1"/>
  <c r="BB31" i="48"/>
  <c r="BA31" i="48"/>
  <c r="AY31" i="48"/>
  <c r="AX31" i="48"/>
  <c r="AW31" i="48"/>
  <c r="AW32" i="48" s="1"/>
  <c r="BJ32" i="48" s="1"/>
  <c r="DK30" i="48"/>
  <c r="DB30" i="48"/>
  <c r="CP30" i="48"/>
  <c r="CA30" i="48"/>
  <c r="BF30" i="48"/>
  <c r="AX30" i="48"/>
  <c r="DK29" i="48"/>
  <c r="DB29" i="48"/>
  <c r="CP29" i="48"/>
  <c r="CA29" i="48"/>
  <c r="BF29" i="48"/>
  <c r="BD29" i="48"/>
  <c r="BD30" i="48" s="1"/>
  <c r="BB29" i="48"/>
  <c r="BA29" i="48"/>
  <c r="AY29" i="48"/>
  <c r="AX29" i="48"/>
  <c r="AW29" i="48"/>
  <c r="AW30" i="48" s="1"/>
  <c r="BJ30" i="48" s="1"/>
  <c r="DK28" i="48"/>
  <c r="DB28" i="48"/>
  <c r="CP28" i="48"/>
  <c r="CA28" i="48"/>
  <c r="BF28" i="48"/>
  <c r="AX28" i="48"/>
  <c r="AV28" i="48"/>
  <c r="AV126" i="48"/>
  <c r="DK27" i="48"/>
  <c r="DB27" i="48"/>
  <c r="CP27" i="48"/>
  <c r="CA27" i="48"/>
  <c r="BF27" i="48"/>
  <c r="BD27" i="48"/>
  <c r="BD28" i="48" s="1"/>
  <c r="BB27" i="48"/>
  <c r="BA27" i="48"/>
  <c r="AY27" i="48"/>
  <c r="AX27" i="48"/>
  <c r="AW27" i="48"/>
  <c r="AZ27" i="48" s="1"/>
  <c r="DN26" i="48"/>
  <c r="DK26" i="48"/>
  <c r="DB26" i="48"/>
  <c r="CP26" i="48"/>
  <c r="DN90" i="48" s="1"/>
  <c r="CA26" i="48"/>
  <c r="AW26" i="48"/>
  <c r="DN45" i="48" s="1"/>
  <c r="AV26" i="48"/>
  <c r="DN54" i="48" s="1"/>
  <c r="DN25" i="48"/>
  <c r="DK25" i="48"/>
  <c r="DB25" i="48"/>
  <c r="CP25" i="48"/>
  <c r="CA25" i="48"/>
  <c r="DN24" i="48"/>
  <c r="DK24" i="48"/>
  <c r="DB24" i="48"/>
  <c r="CP24" i="48"/>
  <c r="CA24" i="48"/>
  <c r="AV24" i="48"/>
  <c r="DN23" i="48"/>
  <c r="DK23" i="48"/>
  <c r="DB23" i="48"/>
  <c r="CP23" i="48"/>
  <c r="CA23" i="48"/>
  <c r="DK22" i="48"/>
  <c r="DB22" i="48"/>
  <c r="CP22" i="48"/>
  <c r="DN74" i="48" s="1"/>
  <c r="CA22" i="48"/>
  <c r="AV19" i="48"/>
  <c r="AW22" i="48" s="1"/>
  <c r="BF22" i="48"/>
  <c r="BD22" i="48"/>
  <c r="DN21" i="48"/>
  <c r="DK21" i="48"/>
  <c r="DB21" i="48"/>
  <c r="CA21" i="48"/>
  <c r="BF21" i="48"/>
  <c r="BD21" i="48"/>
  <c r="AX21" i="48"/>
  <c r="BH21" i="48" s="1"/>
  <c r="AW18" i="48"/>
  <c r="AW21" i="48" s="1"/>
  <c r="BJ21" i="48" s="1"/>
  <c r="DN20" i="48"/>
  <c r="DK20" i="48"/>
  <c r="DB20" i="48"/>
  <c r="CP20" i="48"/>
  <c r="CA20" i="48"/>
  <c r="BF20" i="48"/>
  <c r="BD20" i="48"/>
  <c r="AX20" i="48"/>
  <c r="BH20" i="48" s="1"/>
  <c r="DN19" i="48"/>
  <c r="DK19" i="48"/>
  <c r="DB19" i="48"/>
  <c r="CA19" i="48"/>
  <c r="BF19" i="48"/>
  <c r="BD19" i="48"/>
  <c r="AX19" i="48"/>
  <c r="BH19" i="48" s="1"/>
  <c r="DN18" i="48"/>
  <c r="DK18" i="48"/>
  <c r="DB18" i="48"/>
  <c r="CP18" i="48"/>
  <c r="CA18" i="48"/>
  <c r="BJ18" i="48"/>
  <c r="BF18" i="48"/>
  <c r="BD18" i="48"/>
  <c r="BB18" i="48"/>
  <c r="BB19" i="48" s="1"/>
  <c r="BB20" i="48" s="1"/>
  <c r="BB21" i="48" s="1"/>
  <c r="BB22" i="48" s="1"/>
  <c r="BB94" i="48" s="1"/>
  <c r="BB95" i="48" s="1"/>
  <c r="BA18" i="48"/>
  <c r="AY18" i="48"/>
  <c r="AX18" i="48"/>
  <c r="BH18" i="48" s="1"/>
  <c r="AW20" i="48"/>
  <c r="BJ20" i="48" s="1"/>
  <c r="DN17" i="48"/>
  <c r="DK17" i="48"/>
  <c r="DB17" i="48"/>
  <c r="CP17" i="48"/>
  <c r="CA17" i="48"/>
  <c r="DU16" i="48"/>
  <c r="DN16" i="48"/>
  <c r="DK16" i="48"/>
  <c r="DB16" i="48"/>
  <c r="CA16" i="48"/>
  <c r="BP16" i="48"/>
  <c r="BO16" i="48"/>
  <c r="BN16" i="48"/>
  <c r="BM16" i="48"/>
  <c r="BL16" i="48"/>
  <c r="DU15" i="48"/>
  <c r="DN15" i="48"/>
  <c r="DK15" i="48"/>
  <c r="DB15" i="48"/>
  <c r="CA15" i="48"/>
  <c r="DU14" i="48"/>
  <c r="DN14" i="48"/>
  <c r="DK14" i="48"/>
  <c r="DB14" i="48"/>
  <c r="CP14" i="48"/>
  <c r="CT7" i="48" s="1"/>
  <c r="CA14" i="48"/>
  <c r="DU13" i="48"/>
  <c r="DN13" i="48"/>
  <c r="DK13" i="48"/>
  <c r="DB13" i="48"/>
  <c r="CP13" i="48"/>
  <c r="CA13" i="48"/>
  <c r="DU12" i="48"/>
  <c r="DN12" i="48"/>
  <c r="DK12" i="48"/>
  <c r="DB12" i="48"/>
  <c r="CA12" i="48"/>
  <c r="DU11" i="48"/>
  <c r="DK11" i="48"/>
  <c r="DB11" i="48"/>
  <c r="CA11" i="48"/>
  <c r="DK10" i="48"/>
  <c r="DB10" i="48"/>
  <c r="CP10" i="48"/>
  <c r="CA10" i="48"/>
  <c r="DN9" i="48"/>
  <c r="DK9" i="48"/>
  <c r="DB9" i="48"/>
  <c r="CP9" i="48"/>
  <c r="CA9" i="48"/>
  <c r="DN8" i="48"/>
  <c r="DK8" i="48"/>
  <c r="DB8" i="48"/>
  <c r="CA8" i="48"/>
  <c r="AV8" i="48"/>
  <c r="AY8" i="48" s="1"/>
  <c r="B8" i="48"/>
  <c r="DN7" i="48"/>
  <c r="DK7" i="48"/>
  <c r="DB7" i="48"/>
  <c r="CP7" i="48"/>
  <c r="CA7" i="48"/>
  <c r="DN6" i="48"/>
  <c r="DK6" i="48"/>
  <c r="DB6" i="48"/>
  <c r="CP6" i="48"/>
  <c r="CA6" i="48"/>
  <c r="DN5" i="48"/>
  <c r="DK5" i="48"/>
  <c r="DB5" i="48"/>
  <c r="CP5" i="48"/>
  <c r="CA5" i="48"/>
  <c r="B5" i="48"/>
  <c r="DN4" i="48"/>
  <c r="DK4" i="48"/>
  <c r="DB4" i="48"/>
  <c r="CP4" i="48"/>
  <c r="CA4" i="48"/>
  <c r="L4" i="48"/>
  <c r="AG4" i="48" s="1"/>
  <c r="CP8" i="48" s="1"/>
  <c r="DN3" i="48"/>
  <c r="DK3" i="48"/>
  <c r="DB3" i="48"/>
  <c r="CP3" i="48"/>
  <c r="CA3" i="48"/>
  <c r="AC3" i="48"/>
  <c r="CA2" i="48"/>
  <c r="AV2" i="48"/>
  <c r="I2" i="48"/>
  <c r="AV1" i="48"/>
  <c r="DK113" i="5"/>
  <c r="AW63" i="48"/>
  <c r="BM67" i="48"/>
  <c r="BJ27" i="48"/>
  <c r="BN67" i="48"/>
  <c r="BJ35" i="48"/>
  <c r="BE44" i="48"/>
  <c r="BF44" i="48" s="1"/>
  <c r="BO67" i="48"/>
  <c r="AZ60" i="48"/>
  <c r="BK60" i="48" s="1"/>
  <c r="AZ67" i="48"/>
  <c r="BK67" i="48" s="1"/>
  <c r="BL67" i="48"/>
  <c r="BK44" i="48"/>
  <c r="AV72" i="11"/>
  <c r="DN27" i="48" s="1"/>
  <c r="BR2" i="11"/>
  <c r="DN80" i="5"/>
  <c r="DN72" i="5"/>
  <c r="DN73" i="5"/>
  <c r="DN66" i="5"/>
  <c r="AV46" i="5"/>
  <c r="DN65" i="5" s="1"/>
  <c r="DK112" i="5"/>
  <c r="DK111" i="5"/>
  <c r="DK110" i="5"/>
  <c r="DK109" i="5"/>
  <c r="DK108" i="5"/>
  <c r="DK107" i="5"/>
  <c r="DK106" i="5"/>
  <c r="DK105" i="5"/>
  <c r="DK104" i="5"/>
  <c r="DK103" i="5"/>
  <c r="DK102" i="5"/>
  <c r="DK101" i="5"/>
  <c r="DK100" i="5"/>
  <c r="DK99" i="5"/>
  <c r="DK98" i="5"/>
  <c r="DK97" i="5"/>
  <c r="DK96" i="5"/>
  <c r="DK95" i="5"/>
  <c r="DK94" i="5"/>
  <c r="DK93" i="5"/>
  <c r="DK92" i="5"/>
  <c r="DK91" i="5"/>
  <c r="DK90" i="5"/>
  <c r="DK89" i="5"/>
  <c r="DK88" i="5"/>
  <c r="DK87" i="5"/>
  <c r="DK86" i="5"/>
  <c r="DK85" i="5"/>
  <c r="DK84" i="5"/>
  <c r="DK83" i="5"/>
  <c r="DK82" i="5"/>
  <c r="DK81" i="5"/>
  <c r="DK80" i="5"/>
  <c r="DK79" i="5"/>
  <c r="DK78" i="5"/>
  <c r="DK77" i="5"/>
  <c r="DK76" i="5"/>
  <c r="DK75" i="5"/>
  <c r="DK74" i="5"/>
  <c r="DK73" i="5"/>
  <c r="DK72" i="5"/>
  <c r="DK71" i="5"/>
  <c r="DK70" i="5"/>
  <c r="DK69" i="5"/>
  <c r="DK68" i="5"/>
  <c r="DK67" i="5"/>
  <c r="DK66" i="5"/>
  <c r="DK65" i="5"/>
  <c r="DK64" i="5"/>
  <c r="DK63" i="5"/>
  <c r="DK62" i="5"/>
  <c r="DK61" i="5"/>
  <c r="DK60" i="5"/>
  <c r="DK59" i="5"/>
  <c r="DK58" i="5"/>
  <c r="DK57" i="5"/>
  <c r="DK44" i="5"/>
  <c r="DK43" i="5"/>
  <c r="DK42" i="5"/>
  <c r="DK41" i="5"/>
  <c r="DK40" i="5"/>
  <c r="DK39" i="5"/>
  <c r="DK38" i="5"/>
  <c r="DK37" i="5"/>
  <c r="DK36" i="5"/>
  <c r="DK35" i="5"/>
  <c r="AV4" i="11"/>
  <c r="AW69" i="5"/>
  <c r="AZ127" i="43"/>
  <c r="AY127" i="43"/>
  <c r="AX127" i="43"/>
  <c r="AV127" i="43"/>
  <c r="B117" i="43" s="1"/>
  <c r="AV126" i="43"/>
  <c r="AV125" i="43"/>
  <c r="AV122" i="43"/>
  <c r="AZ120" i="43"/>
  <c r="AY120" i="43"/>
  <c r="AW120" i="43" s="1"/>
  <c r="AX120" i="43"/>
  <c r="AV120" i="43"/>
  <c r="AV119" i="43"/>
  <c r="AV118" i="43"/>
  <c r="B104" i="43"/>
  <c r="AV99" i="43"/>
  <c r="AV100" i="43"/>
  <c r="AV97" i="43"/>
  <c r="AV98" i="43" s="1"/>
  <c r="AY93" i="43"/>
  <c r="AV92" i="43"/>
  <c r="AW92" i="43" s="1"/>
  <c r="AW88" i="43"/>
  <c r="AV88" i="43"/>
  <c r="AZ88" i="43" s="1"/>
  <c r="AV87" i="43"/>
  <c r="BC79" i="43"/>
  <c r="BB79" i="43"/>
  <c r="BA79" i="43"/>
  <c r="AZ79" i="43"/>
  <c r="AY79" i="43"/>
  <c r="AX79" i="43"/>
  <c r="BD79" i="43" s="1"/>
  <c r="BD80" i="43" s="1"/>
  <c r="AW79" i="43"/>
  <c r="AV79" i="43"/>
  <c r="AV76" i="43"/>
  <c r="AW72" i="43"/>
  <c r="AV72" i="43"/>
  <c r="AV71" i="43"/>
  <c r="AV70" i="43"/>
  <c r="AV60" i="43"/>
  <c r="AW55" i="43"/>
  <c r="AV55" i="43"/>
  <c r="AW53" i="43"/>
  <c r="AV53" i="43"/>
  <c r="AV51" i="43"/>
  <c r="AV43" i="43"/>
  <c r="AW38" i="43"/>
  <c r="AV38" i="43"/>
  <c r="AW36" i="43"/>
  <c r="AV36" i="43"/>
  <c r="AV34" i="43"/>
  <c r="AV27" i="43"/>
  <c r="B13" i="43"/>
  <c r="AW87" i="43"/>
  <c r="DK56" i="5"/>
  <c r="DK55" i="5"/>
  <c r="AV88" i="11"/>
  <c r="AZ88" i="11" s="1"/>
  <c r="AW62" i="5"/>
  <c r="AW61" i="5"/>
  <c r="AW111" i="5"/>
  <c r="AH101" i="5"/>
  <c r="L101" i="5"/>
  <c r="CA84" i="5"/>
  <c r="I2" i="5"/>
  <c r="J5" i="48"/>
  <c r="AV24" i="5"/>
  <c r="DK54" i="5"/>
  <c r="AW72" i="11"/>
  <c r="CP50" i="5" s="1"/>
  <c r="AV60" i="11"/>
  <c r="AW53" i="11"/>
  <c r="CP36" i="5" s="1"/>
  <c r="AV53" i="11"/>
  <c r="B48" i="11" s="1"/>
  <c r="AW36" i="11"/>
  <c r="CP21" i="5" s="1"/>
  <c r="AV36" i="11"/>
  <c r="AZ127" i="11"/>
  <c r="AZ120" i="11"/>
  <c r="DK53" i="5"/>
  <c r="DK34" i="5"/>
  <c r="AX127" i="11"/>
  <c r="AX120" i="11"/>
  <c r="AW120" i="11" s="1"/>
  <c r="AV122" i="11"/>
  <c r="AV118" i="11"/>
  <c r="B104" i="11"/>
  <c r="V5" i="48" s="1"/>
  <c r="J7" i="32"/>
  <c r="DK47" i="5"/>
  <c r="DK52" i="5"/>
  <c r="DK49" i="5"/>
  <c r="DK51" i="5"/>
  <c r="DK48" i="5"/>
  <c r="DK50" i="5"/>
  <c r="DK27" i="5"/>
  <c r="DK31" i="5"/>
  <c r="DK28" i="5"/>
  <c r="DK32" i="5"/>
  <c r="DK29" i="5"/>
  <c r="DK33" i="5"/>
  <c r="DK30" i="5"/>
  <c r="J44" i="32"/>
  <c r="J43" i="32"/>
  <c r="J42" i="32"/>
  <c r="J41" i="32"/>
  <c r="J40" i="32"/>
  <c r="J39" i="32"/>
  <c r="J38" i="32"/>
  <c r="J37" i="32"/>
  <c r="J36" i="32"/>
  <c r="J31" i="32"/>
  <c r="J30" i="32"/>
  <c r="J29" i="32"/>
  <c r="J28" i="32"/>
  <c r="J27" i="32"/>
  <c r="J26" i="32"/>
  <c r="J25" i="32"/>
  <c r="J24" i="32"/>
  <c r="J23" i="32"/>
  <c r="J22" i="32"/>
  <c r="J21" i="32"/>
  <c r="J20" i="32"/>
  <c r="J19" i="32"/>
  <c r="J15" i="32"/>
  <c r="J14" i="32"/>
  <c r="C4" i="29"/>
  <c r="H5" i="29"/>
  <c r="J2" i="32" s="1"/>
  <c r="AV126" i="11"/>
  <c r="AV119" i="11"/>
  <c r="AV127" i="11"/>
  <c r="B117" i="11" s="1"/>
  <c r="AY127" i="11"/>
  <c r="AW127" i="11"/>
  <c r="AY120" i="11"/>
  <c r="AV125" i="11"/>
  <c r="AV76" i="11"/>
  <c r="AW55" i="11"/>
  <c r="AV55" i="11"/>
  <c r="AW38" i="11"/>
  <c r="AV38" i="11"/>
  <c r="AV99" i="11"/>
  <c r="DU6" i="5" s="1"/>
  <c r="AV97" i="11"/>
  <c r="DU4" i="5" s="1"/>
  <c r="AY93" i="11"/>
  <c r="CA79" i="5"/>
  <c r="CA80" i="5"/>
  <c r="CA81" i="5"/>
  <c r="CA82" i="5"/>
  <c r="CA83" i="5"/>
  <c r="CA78" i="5"/>
  <c r="CA77" i="5"/>
  <c r="CA76" i="5"/>
  <c r="CA75" i="5"/>
  <c r="CA74" i="5"/>
  <c r="CA73" i="5"/>
  <c r="CA72" i="5"/>
  <c r="CA71" i="5"/>
  <c r="CA70" i="5"/>
  <c r="CA69" i="5"/>
  <c r="CA68" i="5"/>
  <c r="CA67" i="5"/>
  <c r="CA66" i="5"/>
  <c r="BA79" i="11"/>
  <c r="BB79" i="11"/>
  <c r="BC79" i="11"/>
  <c r="AV27" i="11"/>
  <c r="U97" i="5"/>
  <c r="U96" i="5"/>
  <c r="CA65" i="5"/>
  <c r="CA64" i="5"/>
  <c r="CA63" i="5"/>
  <c r="CA62" i="5"/>
  <c r="CA55" i="5"/>
  <c r="CA56" i="5"/>
  <c r="CA57" i="5"/>
  <c r="CA58" i="5"/>
  <c r="CA59" i="5"/>
  <c r="CA60" i="5"/>
  <c r="CA61" i="5"/>
  <c r="AV92" i="11"/>
  <c r="AW92" i="11" s="1"/>
  <c r="AZ79" i="11"/>
  <c r="AY79" i="11"/>
  <c r="AX79" i="11"/>
  <c r="AW79" i="11"/>
  <c r="AV79" i="11"/>
  <c r="CA43" i="5"/>
  <c r="AV1" i="5"/>
  <c r="CA8" i="5"/>
  <c r="CA51" i="5"/>
  <c r="CA54" i="5"/>
  <c r="CA53" i="5"/>
  <c r="CA52" i="5"/>
  <c r="CA50" i="5"/>
  <c r="CA49" i="5"/>
  <c r="CA48" i="5"/>
  <c r="CA47" i="5"/>
  <c r="CA46" i="5"/>
  <c r="CA45" i="5"/>
  <c r="CA44" i="5"/>
  <c r="CA42" i="5"/>
  <c r="CA41" i="5"/>
  <c r="CA40" i="5"/>
  <c r="CA39" i="5"/>
  <c r="CA38" i="5"/>
  <c r="CA37" i="5"/>
  <c r="CA36" i="5"/>
  <c r="CA35" i="5"/>
  <c r="CA34" i="5"/>
  <c r="CA33" i="5"/>
  <c r="CA32" i="5"/>
  <c r="CA31" i="5"/>
  <c r="CA30" i="5"/>
  <c r="CA29" i="5"/>
  <c r="CA28" i="5"/>
  <c r="CA27" i="5"/>
  <c r="CA26" i="5"/>
  <c r="CA25" i="5"/>
  <c r="CA24" i="5"/>
  <c r="CA23" i="5"/>
  <c r="CA22" i="5"/>
  <c r="CA21" i="5"/>
  <c r="CA20" i="5"/>
  <c r="CA19" i="5"/>
  <c r="CA18" i="5"/>
  <c r="CA17" i="5"/>
  <c r="CA16" i="5"/>
  <c r="CA15" i="5"/>
  <c r="CA14" i="5"/>
  <c r="CA13" i="5"/>
  <c r="CA12" i="5"/>
  <c r="CA11" i="5"/>
  <c r="CA10" i="5"/>
  <c r="CA9" i="5"/>
  <c r="CA7" i="5"/>
  <c r="CA6" i="5"/>
  <c r="CA5" i="5"/>
  <c r="CA4" i="5"/>
  <c r="CA3" i="5"/>
  <c r="CA2" i="5"/>
  <c r="CT18" i="5"/>
  <c r="CT14" i="5"/>
  <c r="CT10" i="5"/>
  <c r="CT17" i="5"/>
  <c r="CT13" i="5"/>
  <c r="CT16" i="5"/>
  <c r="CT12" i="5"/>
  <c r="CT19" i="5"/>
  <c r="CT15" i="5"/>
  <c r="CT11" i="5"/>
  <c r="CT7" i="5"/>
  <c r="CT9" i="5"/>
  <c r="CT8" i="5"/>
  <c r="DK22" i="5"/>
  <c r="DK18" i="5"/>
  <c r="DK14" i="5"/>
  <c r="DK10" i="5"/>
  <c r="DK21" i="5"/>
  <c r="DK17" i="5"/>
  <c r="DK13" i="5"/>
  <c r="DK8" i="5"/>
  <c r="DK3" i="5"/>
  <c r="DK5" i="5"/>
  <c r="DK20" i="5"/>
  <c r="DK16" i="5"/>
  <c r="DK12" i="5"/>
  <c r="DK7" i="5"/>
  <c r="DK4" i="5"/>
  <c r="DK25" i="5"/>
  <c r="DK26" i="5"/>
  <c r="DK23" i="5"/>
  <c r="DK19" i="5"/>
  <c r="DK15" i="5"/>
  <c r="DK11" i="5"/>
  <c r="DK6" i="5"/>
  <c r="DK9" i="5"/>
  <c r="DK24" i="5"/>
  <c r="CT6" i="5"/>
  <c r="CT5" i="5"/>
  <c r="CT3" i="5"/>
  <c r="CT4" i="5" s="1"/>
  <c r="AW87" i="11"/>
  <c r="J5" i="5"/>
  <c r="BP27" i="5"/>
  <c r="BO31" i="5"/>
  <c r="BN31" i="5"/>
  <c r="BP31" i="5"/>
  <c r="BL44" i="5"/>
  <c r="BP52" i="5"/>
  <c r="BN52" i="5"/>
  <c r="BL52" i="5"/>
  <c r="BO52" i="5"/>
  <c r="BM52" i="5"/>
  <c r="BN20" i="5"/>
  <c r="BO20" i="5"/>
  <c r="DN191" i="5" l="1"/>
  <c r="DN172" i="5"/>
  <c r="DN90" i="5"/>
  <c r="DN171" i="5"/>
  <c r="AY8" i="5"/>
  <c r="CP21" i="48"/>
  <c r="AW127" i="43"/>
  <c r="DN74" i="5"/>
  <c r="CT24" i="5"/>
  <c r="CT23" i="5"/>
  <c r="B48" i="43"/>
  <c r="AZ47" i="48"/>
  <c r="BK47" i="48" s="1"/>
  <c r="BD79" i="11"/>
  <c r="BD80" i="11" s="1"/>
  <c r="CP71" i="48" s="1"/>
  <c r="BE75" i="5"/>
  <c r="AZ8" i="5"/>
  <c r="DU4" i="48"/>
  <c r="AV67" i="11"/>
  <c r="BK45" i="5"/>
  <c r="DN28" i="48"/>
  <c r="DD13" i="5"/>
  <c r="CP19" i="48"/>
  <c r="CP63" i="5"/>
  <c r="DN173" i="5"/>
  <c r="DN47" i="5"/>
  <c r="DN58" i="5"/>
  <c r="AW82" i="5"/>
  <c r="AV118" i="5"/>
  <c r="CP51" i="48"/>
  <c r="AE139" i="5"/>
  <c r="AA129" i="5"/>
  <c r="CP38" i="48"/>
  <c r="AX109" i="5"/>
  <c r="DN83" i="5"/>
  <c r="DD51" i="5"/>
  <c r="AV5" i="11"/>
  <c r="DD49" i="5"/>
  <c r="AW63" i="5"/>
  <c r="AV32" i="11"/>
  <c r="AV98" i="11"/>
  <c r="DN104" i="5"/>
  <c r="AY68" i="5"/>
  <c r="P5" i="48"/>
  <c r="P5" i="5"/>
  <c r="CP71" i="5"/>
  <c r="B4" i="32"/>
  <c r="B6" i="32"/>
  <c r="B3" i="32"/>
  <c r="B5" i="32"/>
  <c r="CP36" i="48"/>
  <c r="V5" i="5"/>
  <c r="J3" i="32"/>
  <c r="H4" i="29" s="1"/>
  <c r="CT19" i="48"/>
  <c r="AX88" i="11"/>
  <c r="DN10" i="48" s="1"/>
  <c r="DU5" i="5"/>
  <c r="AV100" i="11"/>
  <c r="AX88" i="43"/>
  <c r="CT3" i="48"/>
  <c r="CT4" i="48" s="1"/>
  <c r="DU6" i="48"/>
  <c r="AW28" i="48"/>
  <c r="BJ28" i="48" s="1"/>
  <c r="DN83" i="48"/>
  <c r="DU3" i="5"/>
  <c r="J2" i="54"/>
  <c r="DU5" i="48"/>
  <c r="D4" i="29"/>
  <c r="AY88" i="11"/>
  <c r="AY88" i="43"/>
  <c r="CT13" i="48"/>
  <c r="CT16" i="48"/>
  <c r="DU3" i="48"/>
  <c r="AW32" i="5"/>
  <c r="BO32" i="5" s="1"/>
  <c r="H4" i="53"/>
  <c r="AX20" i="5"/>
  <c r="BH20" i="5" s="1"/>
  <c r="DN28" i="5"/>
  <c r="Y5" i="48"/>
  <c r="Y5" i="5"/>
  <c r="AZ109" i="48"/>
  <c r="AW98" i="48"/>
  <c r="BJ98" i="48" s="1"/>
  <c r="AW19" i="48"/>
  <c r="BJ19" i="48" s="1"/>
  <c r="BE67" i="48"/>
  <c r="BF67" i="48" s="1"/>
  <c r="BK28" i="48"/>
  <c r="BK27" i="48"/>
  <c r="BM64" i="48"/>
  <c r="BE65" i="48"/>
  <c r="BF65" i="48" s="1"/>
  <c r="BO65" i="48"/>
  <c r="BJ31" i="48"/>
  <c r="AY68" i="48"/>
  <c r="BO64" i="48"/>
  <c r="AZ65" i="48"/>
  <c r="BK65" i="48" s="1"/>
  <c r="AZ31" i="48"/>
  <c r="AZ33" i="48"/>
  <c r="BJ33" i="48"/>
  <c r="BJ96" i="48"/>
  <c r="BJ29" i="48"/>
  <c r="AZ29" i="48"/>
  <c r="AX66" i="48"/>
  <c r="CT22" i="5"/>
  <c r="CT21" i="5"/>
  <c r="CT20" i="5"/>
  <c r="AG4" i="5"/>
  <c r="CP8" i="5" s="1"/>
  <c r="CT12" i="48"/>
  <c r="CT14" i="48"/>
  <c r="AX8" i="48"/>
  <c r="AZ8" i="48" s="1"/>
  <c r="CT10" i="48"/>
  <c r="CT11" i="48"/>
  <c r="CT9" i="48"/>
  <c r="CT17" i="48"/>
  <c r="CT15" i="48"/>
  <c r="CT6" i="48"/>
  <c r="CT8" i="48"/>
  <c r="CT18" i="48"/>
  <c r="CT5" i="48"/>
  <c r="AY72" i="48"/>
  <c r="AV59" i="48"/>
  <c r="BF47" i="48"/>
  <c r="BE48" i="48"/>
  <c r="BF48" i="48" s="1"/>
  <c r="AZ48" i="48"/>
  <c r="BK48" i="48" s="1"/>
  <c r="AW49" i="48"/>
  <c r="AZ35" i="48"/>
  <c r="BE45" i="48"/>
  <c r="BF45" i="48" s="1"/>
  <c r="AE134" i="48"/>
  <c r="AE147" i="48" s="1"/>
  <c r="DN22" i="48" s="1"/>
  <c r="BE64" i="48"/>
  <c r="BF64" i="48" s="1"/>
  <c r="BM71" i="48"/>
  <c r="BF60" i="48"/>
  <c r="BJ22" i="48"/>
  <c r="BK22" i="48"/>
  <c r="AZ18" i="48"/>
  <c r="AX22" i="48"/>
  <c r="BH22" i="48" s="1"/>
  <c r="AZ33" i="5"/>
  <c r="DN48" i="5"/>
  <c r="DN27" i="5"/>
  <c r="DN48" i="48"/>
  <c r="CP50" i="48"/>
  <c r="AV73" i="11"/>
  <c r="AW73" i="11" s="1"/>
  <c r="DN75" i="5" s="1"/>
  <c r="V148" i="5"/>
  <c r="DN118" i="5"/>
  <c r="AX76" i="5"/>
  <c r="AW28" i="5"/>
  <c r="BK31" i="5"/>
  <c r="BK32" i="5"/>
  <c r="AW34" i="5"/>
  <c r="AZ27" i="5"/>
  <c r="AZ23" i="5"/>
  <c r="BK23" i="5"/>
  <c r="BN64" i="5"/>
  <c r="BL64" i="5"/>
  <c r="CP70" i="5"/>
  <c r="BL29" i="5"/>
  <c r="BP29" i="5"/>
  <c r="BN27" i="5"/>
  <c r="BL27" i="5"/>
  <c r="BM27" i="5"/>
  <c r="BO27" i="5"/>
  <c r="BP28" i="5"/>
  <c r="BO33" i="5"/>
  <c r="BP33" i="5"/>
  <c r="BL33" i="5"/>
  <c r="BN34" i="5"/>
  <c r="BM33" i="5"/>
  <c r="BN33" i="5"/>
  <c r="BM31" i="5"/>
  <c r="BL31" i="5"/>
  <c r="BN32" i="5"/>
  <c r="BP20" i="5"/>
  <c r="AE129" i="5" l="1"/>
  <c r="V119" i="5"/>
  <c r="BP98" i="48"/>
  <c r="DN10" i="5"/>
  <c r="DN138" i="5"/>
  <c r="DN11" i="5"/>
  <c r="DN11" i="48"/>
  <c r="AX25" i="5"/>
  <c r="AV25" i="5" s="1"/>
  <c r="AX25" i="48"/>
  <c r="BK30" i="48"/>
  <c r="BK29" i="48"/>
  <c r="BK33" i="48"/>
  <c r="BK34" i="48"/>
  <c r="BK31" i="48"/>
  <c r="BK32" i="48"/>
  <c r="AZ49" i="48"/>
  <c r="BK49" i="48" s="1"/>
  <c r="BK35" i="48"/>
  <c r="BK36" i="48"/>
  <c r="BK21" i="48"/>
  <c r="BK19" i="48"/>
  <c r="BK20" i="48"/>
  <c r="BK18" i="48"/>
  <c r="BI27" i="5"/>
  <c r="BI28" i="5" s="1"/>
  <c r="BK33" i="5"/>
  <c r="DN126" i="5"/>
  <c r="BK27" i="5"/>
  <c r="BK28" i="5"/>
  <c r="BJ20" i="5"/>
  <c r="AW22" i="5"/>
  <c r="AW21" i="5"/>
  <c r="AV66" i="11"/>
  <c r="AV68" i="11"/>
  <c r="DN75" i="48"/>
  <c r="BJ23" i="5"/>
  <c r="BO65" i="5"/>
  <c r="BO67" i="5"/>
  <c r="BK34" i="5"/>
  <c r="BK30" i="5"/>
  <c r="BK29" i="5"/>
  <c r="AW30" i="5"/>
  <c r="B9" i="48"/>
  <c r="B4" i="48" s="1"/>
  <c r="V148" i="48"/>
  <c r="AE5" i="48"/>
  <c r="BE49" i="48"/>
  <c r="BF49" i="48" s="1"/>
  <c r="BN64" i="48"/>
  <c r="AZ64" i="48"/>
  <c r="BK64" i="48" s="1"/>
  <c r="BO71" i="48"/>
  <c r="BN71" i="48"/>
  <c r="AZ71" i="48"/>
  <c r="BK71" i="48" s="1"/>
  <c r="DN36" i="5"/>
  <c r="AX66" i="5"/>
  <c r="BE65" i="5"/>
  <c r="BF65" i="5" s="1"/>
  <c r="BO64" i="5"/>
  <c r="AW48" i="5"/>
  <c r="AZ48" i="5" s="1"/>
  <c r="BK48" i="5" s="1"/>
  <c r="DN85" i="5"/>
  <c r="BM65" i="5"/>
  <c r="BE45" i="5"/>
  <c r="BF45" i="5" s="1"/>
  <c r="AZ67" i="5"/>
  <c r="BJ94" i="48"/>
  <c r="AW95" i="48"/>
  <c r="AZ94" i="48" s="1"/>
  <c r="AW97" i="48"/>
  <c r="AY109" i="48"/>
  <c r="BP94" i="5"/>
  <c r="BJ94" i="5"/>
  <c r="BP95" i="5"/>
  <c r="BJ95" i="5"/>
  <c r="AW25" i="48"/>
  <c r="BF75" i="5"/>
  <c r="BN65" i="5"/>
  <c r="BE60" i="5"/>
  <c r="BF60" i="5" s="1"/>
  <c r="BO75" i="5"/>
  <c r="BF71" i="5"/>
  <c r="BL65" i="5"/>
  <c r="BF64" i="5"/>
  <c r="BO71" i="5"/>
  <c r="BP65" i="5"/>
  <c r="AZ65" i="5"/>
  <c r="BM64" i="5"/>
  <c r="AZ44" i="5"/>
  <c r="BF47" i="5"/>
  <c r="BE48" i="5"/>
  <c r="BF48" i="5" s="1"/>
  <c r="AV74" i="11"/>
  <c r="AV64" i="11"/>
  <c r="AV31" i="11"/>
  <c r="B27" i="11" s="1"/>
  <c r="AV83" i="11"/>
  <c r="BK36" i="5"/>
  <c r="BK35" i="5"/>
  <c r="BN75" i="5"/>
  <c r="BN71" i="5"/>
  <c r="BN67" i="5"/>
  <c r="BP64" i="5"/>
  <c r="AZ64" i="5"/>
  <c r="AZ60" i="5"/>
  <c r="AZ47" i="5"/>
  <c r="AW36" i="5"/>
  <c r="BE67" i="5"/>
  <c r="BF67" i="5" s="1"/>
  <c r="AV2" i="43"/>
  <c r="BM75" i="5"/>
  <c r="BM71" i="5"/>
  <c r="BM67" i="5"/>
  <c r="BP75" i="5"/>
  <c r="BL75" i="5"/>
  <c r="BP71" i="5"/>
  <c r="BL71" i="5"/>
  <c r="BP67" i="5"/>
  <c r="BL67" i="5"/>
  <c r="CV7" i="5"/>
  <c r="CU7" i="5" s="1"/>
  <c r="CV11" i="5"/>
  <c r="CU11" i="5" s="1"/>
  <c r="CV5" i="5"/>
  <c r="CU5" i="5" s="1"/>
  <c r="CV18" i="5"/>
  <c r="CU18" i="5" s="1"/>
  <c r="CV6" i="5"/>
  <c r="CU6" i="5" s="1"/>
  <c r="CV8" i="5"/>
  <c r="CU8" i="5" s="1"/>
  <c r="CV19" i="5"/>
  <c r="CU19" i="5" s="1"/>
  <c r="CV9" i="5"/>
  <c r="CU9" i="5" s="1"/>
  <c r="AZ109" i="5"/>
  <c r="CV25" i="5" s="1"/>
  <c r="AZ94" i="5"/>
  <c r="AZ95" i="5" s="1"/>
  <c r="BK95" i="5" s="1"/>
  <c r="BP97" i="5"/>
  <c r="BJ97" i="5"/>
  <c r="BJ96" i="5"/>
  <c r="AZ96" i="5"/>
  <c r="AW98" i="5"/>
  <c r="BP96" i="5"/>
  <c r="BP50" i="5"/>
  <c r="BO50" i="5"/>
  <c r="BN50" i="5"/>
  <c r="BM50" i="5"/>
  <c r="BL50" i="5"/>
  <c r="BN28" i="5"/>
  <c r="BO28" i="5"/>
  <c r="BL45" i="5"/>
  <c r="BP45" i="5"/>
  <c r="BO45" i="5"/>
  <c r="BM45" i="5"/>
  <c r="BN45" i="5"/>
  <c r="BP47" i="5"/>
  <c r="BL47" i="5"/>
  <c r="BM47" i="5"/>
  <c r="BN47" i="5"/>
  <c r="BP34" i="5"/>
  <c r="BO34" i="5"/>
  <c r="BP35" i="5"/>
  <c r="BN35" i="5"/>
  <c r="BL35" i="5"/>
  <c r="BM35" i="5"/>
  <c r="BO35" i="5"/>
  <c r="BP32" i="5"/>
  <c r="BM44" i="5"/>
  <c r="BO44" i="5"/>
  <c r="BN44" i="5"/>
  <c r="BP44" i="5"/>
  <c r="BP22" i="5"/>
  <c r="BP21" i="5"/>
  <c r="BP48" i="5" l="1"/>
  <c r="B60" i="11"/>
  <c r="CV17" i="5"/>
  <c r="CU17" i="5" s="1"/>
  <c r="V120" i="5"/>
  <c r="AE147" i="5"/>
  <c r="CV16" i="5"/>
  <c r="CU16" i="5" s="1"/>
  <c r="CV10" i="5"/>
  <c r="CU10" i="5" s="1"/>
  <c r="DD89" i="5" s="1"/>
  <c r="CV13" i="5"/>
  <c r="CU13" i="5" s="1"/>
  <c r="AV25" i="48"/>
  <c r="AB5" i="48" s="1"/>
  <c r="CV15" i="5"/>
  <c r="CU15" i="5" s="1"/>
  <c r="CV14" i="5"/>
  <c r="CU14" i="5" s="1"/>
  <c r="AX21" i="5"/>
  <c r="BH21" i="5" s="1"/>
  <c r="AX22" i="5"/>
  <c r="BH22" i="5" s="1"/>
  <c r="DK45" i="5"/>
  <c r="BO22" i="5"/>
  <c r="BN21" i="5"/>
  <c r="BN22" i="5"/>
  <c r="BO21" i="5"/>
  <c r="BM60" i="5"/>
  <c r="BO60" i="5"/>
  <c r="BL60" i="5"/>
  <c r="BP60" i="5"/>
  <c r="BN60" i="5"/>
  <c r="DK46" i="5" l="1"/>
  <c r="BK22" i="5"/>
  <c r="BJ21" i="5"/>
  <c r="BJ22" i="5"/>
  <c r="B4" i="11"/>
  <c r="AW49" i="5"/>
  <c r="BN49" i="5" s="1"/>
  <c r="DN22" i="5"/>
  <c r="BK44" i="5"/>
  <c r="BK67" i="5"/>
  <c r="BK65" i="5"/>
  <c r="AZ95" i="48"/>
  <c r="BK95" i="48" s="1"/>
  <c r="BK94" i="48"/>
  <c r="CV38" i="48"/>
  <c r="CV29" i="48"/>
  <c r="CV43" i="48"/>
  <c r="CV13" i="48"/>
  <c r="CU13" i="48" s="1"/>
  <c r="CV11" i="48"/>
  <c r="CU11" i="48" s="1"/>
  <c r="CV23" i="48"/>
  <c r="CV8" i="48"/>
  <c r="CU8" i="48" s="1"/>
  <c r="CV16" i="48"/>
  <c r="CU16" i="48" s="1"/>
  <c r="CV7" i="48"/>
  <c r="CU7" i="48" s="1"/>
  <c r="CV44" i="48"/>
  <c r="CV30" i="48"/>
  <c r="CV34" i="48"/>
  <c r="CV40" i="48"/>
  <c r="CV17" i="48"/>
  <c r="CU17" i="48" s="1"/>
  <c r="CV19" i="48"/>
  <c r="CU19" i="48" s="1"/>
  <c r="CV31" i="48"/>
  <c r="CV10" i="48"/>
  <c r="CU10" i="48" s="1"/>
  <c r="CV6" i="48"/>
  <c r="CU6" i="48" s="1"/>
  <c r="CV14" i="48"/>
  <c r="CU14" i="48" s="1"/>
  <c r="CV35" i="48"/>
  <c r="CV21" i="48"/>
  <c r="CV27" i="48"/>
  <c r="CV42" i="48"/>
  <c r="CV33" i="48"/>
  <c r="CV41" i="48"/>
  <c r="CV22" i="48"/>
  <c r="CV5" i="48"/>
  <c r="CU5" i="48" s="1"/>
  <c r="CV9" i="48"/>
  <c r="CU9" i="48" s="1"/>
  <c r="CV37" i="48"/>
  <c r="CV20" i="48"/>
  <c r="CV12" i="48"/>
  <c r="CU12" i="48" s="1"/>
  <c r="CV39" i="48"/>
  <c r="CV28" i="48"/>
  <c r="CV32" i="48"/>
  <c r="CV36" i="48"/>
  <c r="CV18" i="48"/>
  <c r="CU18" i="48" s="1"/>
  <c r="CV26" i="48"/>
  <c r="CV25" i="48"/>
  <c r="CV15" i="48"/>
  <c r="CU15" i="48" s="1"/>
  <c r="CV24" i="48"/>
  <c r="CV3" i="48"/>
  <c r="CU3" i="48" s="1"/>
  <c r="BJ97" i="48"/>
  <c r="BP97" i="48"/>
  <c r="AZ96" i="48"/>
  <c r="BJ95" i="48"/>
  <c r="BP95" i="48"/>
  <c r="DN47" i="48"/>
  <c r="BK94" i="5"/>
  <c r="CV30" i="5"/>
  <c r="CV36" i="5"/>
  <c r="BE49" i="5"/>
  <c r="BF49" i="5" s="1"/>
  <c r="AV83" i="43"/>
  <c r="AV64" i="43"/>
  <c r="AV31" i="43"/>
  <c r="B27" i="43" s="1"/>
  <c r="AV67" i="43"/>
  <c r="AV74" i="43"/>
  <c r="M5" i="5"/>
  <c r="M5" i="48"/>
  <c r="B9" i="5"/>
  <c r="B4" i="5" s="1"/>
  <c r="BK64" i="5"/>
  <c r="BK47" i="5"/>
  <c r="BK60" i="5"/>
  <c r="CV20" i="5"/>
  <c r="CU20" i="5" s="1"/>
  <c r="CV42" i="5"/>
  <c r="CV41" i="5"/>
  <c r="CV32" i="5"/>
  <c r="CV37" i="5"/>
  <c r="CV31" i="5"/>
  <c r="CV38" i="5"/>
  <c r="CV23" i="5"/>
  <c r="CU23" i="5" s="1"/>
  <c r="CV33" i="5"/>
  <c r="CV34" i="5"/>
  <c r="CV44" i="5"/>
  <c r="CV43" i="5"/>
  <c r="CV39" i="5"/>
  <c r="CV35" i="5"/>
  <c r="CV27" i="5"/>
  <c r="CV21" i="5"/>
  <c r="CU21" i="5" s="1"/>
  <c r="CV24" i="5"/>
  <c r="CU24" i="5" s="1"/>
  <c r="DD101" i="5" s="1"/>
  <c r="CV26" i="5"/>
  <c r="CV28" i="5"/>
  <c r="CV40" i="5"/>
  <c r="CV22" i="5"/>
  <c r="CU22" i="5" s="1"/>
  <c r="CV29" i="5"/>
  <c r="BJ98" i="5"/>
  <c r="BP98" i="5"/>
  <c r="AZ97" i="5"/>
  <c r="CV4" i="5"/>
  <c r="CU4" i="5" s="1"/>
  <c r="BK96" i="5"/>
  <c r="BN29" i="5"/>
  <c r="BO29" i="5"/>
  <c r="BM29" i="5"/>
  <c r="BN48" i="5"/>
  <c r="BO48" i="5"/>
  <c r="BN37" i="5"/>
  <c r="BO37" i="5"/>
  <c r="BL37" i="5"/>
  <c r="BP37" i="5"/>
  <c r="BN38" i="5"/>
  <c r="BM37" i="5"/>
  <c r="BO38" i="5"/>
  <c r="BP38" i="5"/>
  <c r="BO49" i="5" l="1"/>
  <c r="BP49" i="5"/>
  <c r="AZ49" i="5"/>
  <c r="CV12" i="5" s="1"/>
  <c r="CU12" i="5" s="1"/>
  <c r="AV6" i="5"/>
  <c r="AB5" i="5" s="1"/>
  <c r="BK21" i="5"/>
  <c r="BK20" i="5"/>
  <c r="CV3" i="5"/>
  <c r="CU3" i="5" s="1"/>
  <c r="CV4" i="48"/>
  <c r="CU4" i="48" s="1"/>
  <c r="AZ97" i="48"/>
  <c r="BK96" i="48"/>
  <c r="S5" i="5"/>
  <c r="C213" i="5" s="1"/>
  <c r="S5" i="48"/>
  <c r="B3" i="48"/>
  <c r="B60" i="43"/>
  <c r="C23" i="43" s="1"/>
  <c r="BK97" i="5"/>
  <c r="AZ98" i="5"/>
  <c r="BK98" i="5" s="1"/>
  <c r="BK49" i="5" l="1"/>
  <c r="B3" i="5"/>
  <c r="BK97" i="48"/>
  <c r="AZ98" i="48"/>
  <c r="BK98" i="48" s="1"/>
  <c r="B4" i="43"/>
  <c r="I11" i="43" l="1"/>
  <c r="I13" i="43"/>
  <c r="C9" i="43"/>
  <c r="I12" i="43"/>
  <c r="C8" i="43"/>
  <c r="BO30" i="5" l="1"/>
  <c r="BN30" i="5"/>
  <c r="BP30" i="5"/>
  <c r="BP36" i="5"/>
  <c r="BN36" i="5"/>
  <c r="BO36" i="5"/>
  <c r="BN20" i="48"/>
  <c r="BO27" i="48"/>
  <c r="BN33" i="48"/>
  <c r="BP30" i="48"/>
  <c r="BO44" i="48"/>
  <c r="BN21" i="48"/>
  <c r="BM44" i="48"/>
  <c r="BO35" i="48"/>
  <c r="BP34" i="48"/>
  <c r="BN47" i="48"/>
  <c r="BP19" i="48"/>
  <c r="BM29" i="48"/>
  <c r="BO33" i="48"/>
  <c r="BM35" i="48"/>
  <c r="BO49" i="48"/>
  <c r="BL35" i="48"/>
  <c r="BO30" i="48"/>
  <c r="BL27" i="48"/>
  <c r="BO29" i="48"/>
  <c r="BP49" i="48"/>
  <c r="BO32" i="48"/>
  <c r="BL60" i="48"/>
  <c r="BN45" i="48"/>
  <c r="BP22" i="48"/>
  <c r="BO21" i="48"/>
  <c r="BN34" i="48"/>
  <c r="BO60" i="48"/>
  <c r="BP31" i="48"/>
  <c r="BM31" i="48"/>
  <c r="BP60" i="48"/>
  <c r="BN32" i="48"/>
  <c r="BL29" i="48"/>
  <c r="BN36" i="48"/>
  <c r="BP44" i="48"/>
  <c r="BP27" i="48"/>
  <c r="BN44" i="48"/>
  <c r="BO48" i="48"/>
  <c r="BO28" i="48"/>
  <c r="BP47" i="48"/>
  <c r="BL18" i="48"/>
  <c r="BN35" i="48"/>
  <c r="BM47" i="48"/>
  <c r="BP35" i="48"/>
  <c r="BO19" i="48"/>
  <c r="BO47" i="48"/>
  <c r="BL47" i="48"/>
  <c r="BO22" i="48"/>
  <c r="BN49" i="48"/>
  <c r="BN60" i="48"/>
  <c r="BP21" i="48"/>
  <c r="BN19" i="48"/>
  <c r="BN29" i="48"/>
  <c r="BP18" i="48"/>
  <c r="BP32" i="48"/>
  <c r="BL33" i="48"/>
  <c r="BP29" i="48"/>
  <c r="BO45" i="48"/>
  <c r="BO36" i="48"/>
  <c r="BL31" i="48"/>
  <c r="BP48" i="48"/>
  <c r="BM18" i="48"/>
  <c r="BL45" i="48"/>
  <c r="BN31" i="48"/>
  <c r="BO18" i="48"/>
  <c r="BN48" i="48"/>
  <c r="BM27" i="48"/>
  <c r="BO20" i="48"/>
  <c r="BN30" i="48"/>
  <c r="BP33" i="48"/>
  <c r="BL44" i="48"/>
  <c r="BM60" i="48"/>
  <c r="BN18" i="48"/>
  <c r="BP45" i="48"/>
  <c r="BM33" i="48"/>
  <c r="BP36" i="48"/>
  <c r="BP20" i="48"/>
  <c r="BP28" i="48"/>
  <c r="BN22" i="48"/>
  <c r="BN28" i="48"/>
  <c r="BN27" i="48"/>
  <c r="BM45" i="48"/>
  <c r="BO34" i="48"/>
  <c r="BO31"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千葉　武士（SBPS）</author>
    <author>ehamasaki</author>
  </authors>
  <commentList>
    <comment ref="AW88" authorId="0" shapeId="0" xr:uid="{00000000-0006-0000-0000-000001000000}">
      <text>
        <r>
          <rPr>
            <b/>
            <sz val="10"/>
            <color indexed="81"/>
            <rFont val="Meiryo UI"/>
            <family val="3"/>
            <charset val="128"/>
          </rPr>
          <t>取扱区分から
業種区分へ読み替え</t>
        </r>
      </text>
    </comment>
    <comment ref="AX88" authorId="0" shapeId="0" xr:uid="{00000000-0006-0000-0000-000002000000}">
      <text>
        <r>
          <rPr>
            <b/>
            <sz val="10"/>
            <color indexed="81"/>
            <rFont val="Meiryo UI"/>
            <family val="3"/>
            <charset val="128"/>
          </rPr>
          <t>クレジット用販売形態</t>
        </r>
      </text>
    </comment>
    <comment ref="AY88" authorId="0" shapeId="0" xr:uid="{00000000-0006-0000-0000-000003000000}">
      <text>
        <r>
          <rPr>
            <b/>
            <sz val="10"/>
            <color indexed="81"/>
            <rFont val="Meiryo UI"/>
            <family val="3"/>
            <charset val="128"/>
          </rPr>
          <t>クレジット用販売形態
その他</t>
        </r>
      </text>
    </comment>
    <comment ref="AZ88" authorId="0" shapeId="0" xr:uid="{00000000-0006-0000-0000-000004000000}">
      <text>
        <r>
          <rPr>
            <b/>
            <sz val="10"/>
            <color indexed="81"/>
            <rFont val="Meiryo UI"/>
            <family val="3"/>
            <charset val="128"/>
          </rPr>
          <t>PayPay用販売形態</t>
        </r>
      </text>
    </comment>
    <comment ref="C122" authorId="1" shapeId="0" xr:uid="{00000000-0006-0000-0000-000005000000}">
      <text>
        <r>
          <rPr>
            <b/>
            <sz val="11"/>
            <color indexed="81"/>
            <rFont val="ＭＳ Ｐゴシック"/>
            <family val="3"/>
            <charset val="128"/>
          </rPr>
          <t>接続情報のご連絡など、システム設定に関するご案内をさせていただきます。
サイト構築を他社に依頼されている場合は、そのご連絡先でも結構です。
E-mailアドレスにつきましてはグループアドレスのご指定を推奨しております。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奥川　直人（SBPS）</author>
    <author>千葉　武士（SBPS）</author>
    <author>伊藤　一裕（SBPS）</author>
  </authors>
  <commentList>
    <comment ref="CT2" authorId="0" shapeId="0" xr:uid="{00000000-0006-0000-0100-000001000000}">
      <text>
        <r>
          <rPr>
            <sz val="9"/>
            <color indexed="81"/>
            <rFont val="ＭＳ Ｐゴシック"/>
            <family val="3"/>
            <charset val="128"/>
          </rPr>
          <t xml:space="preserve">APIの取り込み項目に要追加
</t>
        </r>
      </text>
    </comment>
    <comment ref="DD2" authorId="0" shapeId="0" xr:uid="{00000000-0006-0000-0100-000002000000}">
      <text>
        <r>
          <rPr>
            <sz val="9"/>
            <color indexed="81"/>
            <rFont val="ＭＳ Ｐゴシック"/>
            <family val="3"/>
            <charset val="128"/>
          </rPr>
          <t xml:space="preserve">Null＝API連携対象外
</t>
        </r>
      </text>
    </comment>
    <comment ref="DN2" authorId="0" shapeId="0" xr:uid="{00000000-0006-0000-0100-000003000000}">
      <text>
        <r>
          <rPr>
            <sz val="9"/>
            <color indexed="81"/>
            <rFont val="ＭＳ Ｐゴシック"/>
            <family val="3"/>
            <charset val="128"/>
          </rPr>
          <t xml:space="preserve">Null＝API連携対象外
</t>
        </r>
      </text>
    </comment>
    <comment ref="DU2" authorId="0" shapeId="0" xr:uid="{00000000-0006-0000-0100-000004000000}">
      <text>
        <r>
          <rPr>
            <sz val="9"/>
            <color indexed="81"/>
            <rFont val="ＭＳ Ｐゴシック"/>
            <family val="3"/>
            <charset val="128"/>
          </rPr>
          <t xml:space="preserve">Null＝API連携対象外
</t>
        </r>
      </text>
    </comment>
    <comment ref="AV25" authorId="1" shapeId="0" xr:uid="{00000000-0006-0000-0100-000005000000}">
      <text>
        <r>
          <rPr>
            <b/>
            <sz val="10"/>
            <color indexed="81"/>
            <rFont val="Meiryo UI"/>
            <family val="3"/>
            <charset val="128"/>
          </rPr>
          <t>Edy用別シート総合判定</t>
        </r>
      </text>
    </comment>
    <comment ref="AW25" authorId="1" shapeId="0" xr:uid="{00000000-0006-0000-0100-000006000000}">
      <text>
        <r>
          <rPr>
            <b/>
            <sz val="10"/>
            <color indexed="81"/>
            <rFont val="Meiryo UI"/>
            <family val="3"/>
            <charset val="128"/>
          </rPr>
          <t>Edy業種ID</t>
        </r>
      </text>
    </comment>
    <comment ref="AX25" authorId="1" shapeId="0" xr:uid="{00000000-0006-0000-0100-000007000000}">
      <text>
        <r>
          <rPr>
            <b/>
            <sz val="10"/>
            <color indexed="81"/>
            <rFont val="Meiryo UI"/>
            <family val="3"/>
            <charset val="128"/>
          </rPr>
          <t>Edyチェックシートの入力</t>
        </r>
      </text>
    </comment>
    <comment ref="AV26" authorId="1" shapeId="0" xr:uid="{00000000-0006-0000-0100-000008000000}">
      <text>
        <r>
          <rPr>
            <b/>
            <sz val="10"/>
            <color indexed="81"/>
            <rFont val="Meiryo UI"/>
            <family val="3"/>
            <charset val="128"/>
          </rPr>
          <t>iD業種</t>
        </r>
      </text>
    </comment>
    <comment ref="AW26" authorId="1" shapeId="0" xr:uid="{00000000-0006-0000-0100-000009000000}">
      <text>
        <r>
          <rPr>
            <b/>
            <sz val="10"/>
            <color indexed="81"/>
            <rFont val="Meiryo UI"/>
            <family val="3"/>
            <charset val="128"/>
          </rPr>
          <t>交通系事業者精算先コード</t>
        </r>
      </text>
    </comment>
    <comment ref="DN27" authorId="1" shapeId="0" xr:uid="{00000000-0006-0000-0100-00000A000000}">
      <text>
        <r>
          <rPr>
            <b/>
            <sz val="10"/>
            <color indexed="81"/>
            <rFont val="Meiryo UI"/>
            <family val="3"/>
            <charset val="128"/>
          </rPr>
          <t>店舗住所</t>
        </r>
        <r>
          <rPr>
            <sz val="9"/>
            <color indexed="81"/>
            <rFont val="ＭＳ Ｐゴシック"/>
            <family val="3"/>
            <charset val="128"/>
          </rPr>
          <t xml:space="preserve">
</t>
        </r>
      </text>
    </comment>
    <comment ref="AV28" authorId="1" shapeId="0" xr:uid="{00000000-0006-0000-0100-00000B000000}">
      <text>
        <r>
          <rPr>
            <b/>
            <sz val="10"/>
            <color indexed="81"/>
            <rFont val="Meiryo UI"/>
            <family val="3"/>
            <charset val="128"/>
          </rPr>
          <t>電子マネー有無</t>
        </r>
      </text>
    </comment>
    <comment ref="AV46" authorId="1" shapeId="0" xr:uid="{00000000-0006-0000-0100-00000C000000}">
      <text>
        <r>
          <rPr>
            <sz val="10"/>
            <color indexed="81"/>
            <rFont val="Meiryo UI"/>
            <family val="3"/>
            <charset val="128"/>
          </rPr>
          <t>WeChatPayビジネスカテゴリ</t>
        </r>
      </text>
    </comment>
    <comment ref="DN48" authorId="1" shapeId="0" xr:uid="{00000000-0006-0000-0100-00000D000000}">
      <text>
        <r>
          <rPr>
            <b/>
            <sz val="10"/>
            <color indexed="81"/>
            <rFont val="Meiryo UI"/>
            <family val="3"/>
            <charset val="128"/>
          </rPr>
          <t>店舗住所</t>
        </r>
      </text>
    </comment>
    <comment ref="AY61" authorId="1" shapeId="0" xr:uid="{00000000-0006-0000-0100-00000E000000}">
      <text>
        <r>
          <rPr>
            <sz val="10"/>
            <color indexed="81"/>
            <rFont val="Meiryo UI"/>
            <family val="3"/>
            <charset val="128"/>
          </rPr>
          <t>フランチャイズ特約</t>
        </r>
      </text>
    </comment>
    <comment ref="J62" authorId="1" shapeId="0" xr:uid="{00000000-0006-0000-0100-00000F000000}">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J85" authorId="1" shapeId="0" xr:uid="{00000000-0006-0000-0100-000010000000}">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AX89" authorId="2" shapeId="0" xr:uid="{00000000-0006-0000-0100-000011000000}">
      <text>
        <r>
          <rPr>
            <b/>
            <sz val="9"/>
            <color indexed="81"/>
            <rFont val="ＭＳ Ｐゴシック"/>
            <family val="3"/>
            <charset val="128"/>
          </rPr>
          <t>共通初期費用</t>
        </r>
      </text>
    </comment>
    <comment ref="AY89" authorId="2" shapeId="0" xr:uid="{00000000-0006-0000-0100-000012000000}">
      <text>
        <r>
          <rPr>
            <b/>
            <sz val="9"/>
            <color indexed="81"/>
            <rFont val="ＭＳ Ｐゴシック"/>
            <family val="3"/>
            <charset val="128"/>
          </rPr>
          <t>共通月額固定</t>
        </r>
      </text>
    </comment>
    <comment ref="CH91" authorId="1" shapeId="0" xr:uid="{00000000-0006-0000-0100-000013000000}">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92" authorId="1" shapeId="0" xr:uid="{00000000-0006-0000-0100-000014000000}">
      <text>
        <r>
          <rPr>
            <b/>
            <sz val="10"/>
            <color indexed="81"/>
            <rFont val="Meiryo UI"/>
            <family val="3"/>
            <charset val="128"/>
          </rPr>
          <t xml:space="preserve">QUICPay取次希望
</t>
        </r>
        <r>
          <rPr>
            <b/>
            <sz val="10"/>
            <color indexed="10"/>
            <rFont val="Meiryo UI"/>
            <family val="3"/>
            <charset val="128"/>
          </rPr>
          <t>※読み替えあり</t>
        </r>
      </text>
    </comment>
    <comment ref="AV109" authorId="1" shapeId="0" xr:uid="{00000000-0006-0000-0100-000015000000}">
      <text>
        <r>
          <rPr>
            <b/>
            <sz val="10"/>
            <color indexed="81"/>
            <rFont val="Meiryo UI"/>
            <family val="3"/>
            <charset val="128"/>
          </rPr>
          <t>早期・複数回入金オプション</t>
        </r>
      </text>
    </comment>
    <comment ref="AV110" authorId="1" shapeId="0" xr:uid="{00000000-0006-0000-0100-000016000000}">
      <text>
        <r>
          <rPr>
            <b/>
            <sz val="10"/>
            <color indexed="81"/>
            <rFont val="Meiryo UI"/>
            <family val="3"/>
            <charset val="128"/>
          </rPr>
          <t>POS連動申込</t>
        </r>
      </text>
    </comment>
    <comment ref="AV111" authorId="1" shapeId="0" xr:uid="{00000000-0006-0000-0100-000017000000}">
      <text>
        <r>
          <rPr>
            <b/>
            <sz val="10"/>
            <color indexed="81"/>
            <rFont val="Meiryo UI"/>
            <family val="3"/>
            <charset val="128"/>
          </rPr>
          <t>SIM申込</t>
        </r>
      </text>
    </comment>
    <comment ref="AV115" authorId="1" shapeId="0" xr:uid="{00000000-0006-0000-0100-000018000000}">
      <text>
        <r>
          <rPr>
            <b/>
            <sz val="10"/>
            <color indexed="81"/>
            <rFont val="Meiryo UI"/>
            <family val="3"/>
            <charset val="128"/>
          </rPr>
          <t>WeChat公式アカウント
申込</t>
        </r>
      </text>
    </comment>
    <comment ref="AV116" authorId="1" shapeId="0" xr:uid="{00000000-0006-0000-0100-000019000000}">
      <text>
        <r>
          <rPr>
            <b/>
            <sz val="10"/>
            <color indexed="81"/>
            <rFont val="Meiryo UI"/>
            <family val="3"/>
            <charset val="128"/>
          </rPr>
          <t>WeChat公式アカウント
同意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H5" authorId="0" shapeId="0" xr:uid="{00000000-0006-0000-0300-00000100000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J2" authorId="0" shapeId="0" xr:uid="{00000000-0006-0000-0400-00000100000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U39" authorId="0" shapeId="0" xr:uid="{00000000-0006-0000-0700-000001000000}">
      <text>
        <r>
          <rPr>
            <sz val="11"/>
            <color indexed="81"/>
            <rFont val="Meiryo UI"/>
            <family val="3"/>
            <charset val="128"/>
          </rPr>
          <t>個人事業主の場合は「0」を入力ください。</t>
        </r>
        <r>
          <rPr>
            <sz val="9"/>
            <color indexed="81"/>
            <rFont val="MS P ゴシック"/>
            <family val="3"/>
            <charset val="128"/>
          </rPr>
          <t xml:space="preserve">
</t>
        </r>
      </text>
    </comment>
    <comment ref="AW88" authorId="0" shapeId="0" xr:uid="{00000000-0006-0000-0700-000002000000}">
      <text>
        <r>
          <rPr>
            <b/>
            <sz val="10"/>
            <color indexed="81"/>
            <rFont val="Meiryo UI"/>
            <family val="3"/>
            <charset val="128"/>
          </rPr>
          <t>取扱区分から
業種区分へ読み替え</t>
        </r>
      </text>
    </comment>
    <comment ref="AX88" authorId="0" shapeId="0" xr:uid="{00000000-0006-0000-0700-000003000000}">
      <text>
        <r>
          <rPr>
            <b/>
            <sz val="10"/>
            <color indexed="81"/>
            <rFont val="Meiryo UI"/>
            <family val="3"/>
            <charset val="128"/>
          </rPr>
          <t>クレジット用販売形態</t>
        </r>
      </text>
    </comment>
    <comment ref="AY88" authorId="0" shapeId="0" xr:uid="{00000000-0006-0000-0700-000004000000}">
      <text>
        <r>
          <rPr>
            <b/>
            <sz val="10"/>
            <color indexed="81"/>
            <rFont val="Meiryo UI"/>
            <family val="3"/>
            <charset val="128"/>
          </rPr>
          <t>クレジット用販売形態
その他</t>
        </r>
      </text>
    </comment>
    <comment ref="AZ88" authorId="0" shapeId="0" xr:uid="{00000000-0006-0000-0700-000005000000}">
      <text>
        <r>
          <rPr>
            <b/>
            <sz val="10"/>
            <color indexed="81"/>
            <rFont val="Meiryo UI"/>
            <family val="3"/>
            <charset val="128"/>
          </rPr>
          <t>PayPay用販売形態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奥川　直人（SBPS）</author>
    <author>千葉　武士（SBPS）</author>
    <author>伊藤　一裕（SBPS）</author>
  </authors>
  <commentList>
    <comment ref="CT2" authorId="0" shapeId="0" xr:uid="{00000000-0006-0000-0800-000001000000}">
      <text>
        <r>
          <rPr>
            <sz val="9"/>
            <color indexed="81"/>
            <rFont val="ＭＳ Ｐゴシック"/>
            <family val="3"/>
            <charset val="128"/>
          </rPr>
          <t xml:space="preserve">APIの取り込み項目に要追加
</t>
        </r>
      </text>
    </comment>
    <comment ref="DD2" authorId="0" shapeId="0" xr:uid="{00000000-0006-0000-0800-000002000000}">
      <text>
        <r>
          <rPr>
            <sz val="9"/>
            <color indexed="81"/>
            <rFont val="ＭＳ Ｐゴシック"/>
            <family val="3"/>
            <charset val="128"/>
          </rPr>
          <t xml:space="preserve">Null＝API連携対象外
</t>
        </r>
      </text>
    </comment>
    <comment ref="DN2" authorId="0" shapeId="0" xr:uid="{00000000-0006-0000-0800-000003000000}">
      <text>
        <r>
          <rPr>
            <sz val="9"/>
            <color indexed="81"/>
            <rFont val="ＭＳ Ｐゴシック"/>
            <family val="3"/>
            <charset val="128"/>
          </rPr>
          <t xml:space="preserve">Null＝API連携対象外
</t>
        </r>
      </text>
    </comment>
    <comment ref="DU2" authorId="0" shapeId="0" xr:uid="{00000000-0006-0000-0800-000004000000}">
      <text>
        <r>
          <rPr>
            <sz val="9"/>
            <color indexed="81"/>
            <rFont val="ＭＳ Ｐゴシック"/>
            <family val="3"/>
            <charset val="128"/>
          </rPr>
          <t xml:space="preserve">Null＝API連携対象外
</t>
        </r>
      </text>
    </comment>
    <comment ref="AV15" authorId="1" shapeId="0" xr:uid="{00000000-0006-0000-0800-000005000000}">
      <text>
        <r>
          <rPr>
            <b/>
            <sz val="10"/>
            <color indexed="81"/>
            <rFont val="Meiryo UI"/>
            <family val="3"/>
            <charset val="128"/>
          </rPr>
          <t>クレジット有無</t>
        </r>
      </text>
    </comment>
    <comment ref="AV17" authorId="1" shapeId="0" xr:uid="{00000000-0006-0000-0800-000006000000}">
      <text>
        <r>
          <rPr>
            <sz val="10"/>
            <color indexed="81"/>
            <rFont val="Meiryo UI"/>
            <family val="3"/>
            <charset val="128"/>
          </rPr>
          <t>VISA/Master</t>
        </r>
      </text>
    </comment>
    <comment ref="AV18" authorId="1" shapeId="0" xr:uid="{00000000-0006-0000-0800-000007000000}">
      <text>
        <r>
          <rPr>
            <sz val="10"/>
            <color indexed="81"/>
            <rFont val="Meiryo UI"/>
            <family val="3"/>
            <charset val="128"/>
          </rPr>
          <t>JCB</t>
        </r>
      </text>
    </comment>
    <comment ref="CD18" authorId="1" shapeId="0" xr:uid="{00000000-0006-0000-0800-000008000000}">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AV20" authorId="1" shapeId="0" xr:uid="{00000000-0006-0000-0800-000009000000}">
      <text>
        <r>
          <rPr>
            <sz val="10"/>
            <color indexed="81"/>
            <rFont val="Meiryo UI"/>
            <family val="3"/>
            <charset val="128"/>
          </rPr>
          <t>2回払い</t>
        </r>
      </text>
    </comment>
    <comment ref="AV21" authorId="1" shapeId="0" xr:uid="{00000000-0006-0000-0800-00000A000000}">
      <text>
        <r>
          <rPr>
            <sz val="10"/>
            <color indexed="81"/>
            <rFont val="Meiryo UI"/>
            <family val="3"/>
            <charset val="128"/>
          </rPr>
          <t>分割払い</t>
        </r>
      </text>
    </comment>
    <comment ref="AV22" authorId="1" shapeId="0" xr:uid="{00000000-0006-0000-0800-00000B000000}">
      <text>
        <r>
          <rPr>
            <sz val="10"/>
            <color indexed="81"/>
            <rFont val="Meiryo UI"/>
            <family val="3"/>
            <charset val="128"/>
          </rPr>
          <t>リボ払い</t>
        </r>
      </text>
    </comment>
    <comment ref="AV23" authorId="1" shapeId="0" xr:uid="{00000000-0006-0000-0800-00000C000000}">
      <text>
        <r>
          <rPr>
            <sz val="10"/>
            <color indexed="81"/>
            <rFont val="Meiryo UI"/>
            <family val="3"/>
            <charset val="128"/>
          </rPr>
          <t>ボーナス一括</t>
        </r>
      </text>
    </comment>
    <comment ref="AV25" authorId="1" shapeId="0" xr:uid="{00000000-0006-0000-0800-00000D000000}">
      <text>
        <r>
          <rPr>
            <b/>
            <sz val="10"/>
            <color indexed="81"/>
            <rFont val="Meiryo UI"/>
            <family val="3"/>
            <charset val="128"/>
          </rPr>
          <t>Edy用別シート総合判定</t>
        </r>
      </text>
    </comment>
    <comment ref="AW25" authorId="1" shapeId="0" xr:uid="{00000000-0006-0000-0800-00000E000000}">
      <text>
        <r>
          <rPr>
            <b/>
            <sz val="10"/>
            <color indexed="81"/>
            <rFont val="Meiryo UI"/>
            <family val="3"/>
            <charset val="128"/>
          </rPr>
          <t>Edy業種ID</t>
        </r>
      </text>
    </comment>
    <comment ref="AX25" authorId="1" shapeId="0" xr:uid="{00000000-0006-0000-0800-00000F000000}">
      <text>
        <r>
          <rPr>
            <b/>
            <sz val="10"/>
            <color indexed="81"/>
            <rFont val="Meiryo UI"/>
            <family val="3"/>
            <charset val="128"/>
          </rPr>
          <t>Edyチェックシートの入力</t>
        </r>
      </text>
    </comment>
    <comment ref="AV26" authorId="1" shapeId="0" xr:uid="{00000000-0006-0000-0800-000010000000}">
      <text>
        <r>
          <rPr>
            <b/>
            <sz val="10"/>
            <color indexed="81"/>
            <rFont val="Meiryo UI"/>
            <family val="3"/>
            <charset val="128"/>
          </rPr>
          <t>iD業種</t>
        </r>
      </text>
    </comment>
    <comment ref="AW26" authorId="1" shapeId="0" xr:uid="{00000000-0006-0000-0800-000011000000}">
      <text>
        <r>
          <rPr>
            <b/>
            <sz val="10"/>
            <color indexed="81"/>
            <rFont val="Meiryo UI"/>
            <family val="3"/>
            <charset val="128"/>
          </rPr>
          <t>交通系事業者精算先コード</t>
        </r>
      </text>
    </comment>
    <comment ref="DN27" authorId="1" shapeId="0" xr:uid="{00000000-0006-0000-0800-000012000000}">
      <text>
        <r>
          <rPr>
            <b/>
            <sz val="10"/>
            <color indexed="81"/>
            <rFont val="Meiryo UI"/>
            <family val="3"/>
            <charset val="128"/>
          </rPr>
          <t>店舗住所</t>
        </r>
        <r>
          <rPr>
            <sz val="9"/>
            <color indexed="81"/>
            <rFont val="ＭＳ Ｐゴシック"/>
            <family val="3"/>
            <charset val="128"/>
          </rPr>
          <t xml:space="preserve">
</t>
        </r>
      </text>
    </comment>
    <comment ref="AV28" authorId="1" shapeId="0" xr:uid="{00000000-0006-0000-0800-000013000000}">
      <text>
        <r>
          <rPr>
            <b/>
            <sz val="10"/>
            <color indexed="81"/>
            <rFont val="Meiryo UI"/>
            <family val="3"/>
            <charset val="128"/>
          </rPr>
          <t>電子マネー有無</t>
        </r>
      </text>
    </comment>
    <comment ref="AV46" authorId="1" shapeId="0" xr:uid="{00000000-0006-0000-0800-000014000000}">
      <text>
        <r>
          <rPr>
            <sz val="10"/>
            <color indexed="81"/>
            <rFont val="Meiryo UI"/>
            <family val="3"/>
            <charset val="128"/>
          </rPr>
          <t>WeChatPayビジネスカテゴリ</t>
        </r>
      </text>
    </comment>
    <comment ref="DN48" authorId="1" shapeId="0" xr:uid="{00000000-0006-0000-0800-000015000000}">
      <text>
        <r>
          <rPr>
            <b/>
            <sz val="10"/>
            <color indexed="81"/>
            <rFont val="Meiryo UI"/>
            <family val="3"/>
            <charset val="128"/>
          </rPr>
          <t>店舗住所</t>
        </r>
      </text>
    </comment>
    <comment ref="AY61" authorId="1" shapeId="0" xr:uid="{00000000-0006-0000-0800-000016000000}">
      <text>
        <r>
          <rPr>
            <sz val="10"/>
            <color indexed="81"/>
            <rFont val="Meiryo UI"/>
            <family val="3"/>
            <charset val="128"/>
          </rPr>
          <t>フランチャイズ特約</t>
        </r>
      </text>
    </comment>
    <comment ref="J62" authorId="1" shapeId="0" xr:uid="{00000000-0006-0000-0800-000017000000}">
      <text>
        <r>
          <rPr>
            <sz val="11"/>
            <color indexed="81"/>
            <rFont val="Meiryo UI"/>
            <family val="3"/>
            <charset val="128"/>
          </rPr>
          <t>PayPay Map とは、ユーザー向けアプリ「PayPay」で
PayPayが使えるお店を地図で表示し、
現在位置に近いPayPayが使えるお店を見つけやすくし、
来店誘導と利用促進を図る機能です。</t>
        </r>
      </text>
    </comment>
    <comment ref="BC62" authorId="1" shapeId="0" xr:uid="{00000000-0006-0000-0800-000018000000}">
      <text>
        <r>
          <rPr>
            <sz val="10"/>
            <color indexed="81"/>
            <rFont val="Meiryo UI"/>
            <family val="3"/>
            <charset val="128"/>
          </rPr>
          <t>業種ID</t>
        </r>
      </text>
    </comment>
    <comment ref="AX77" authorId="1" shapeId="0" xr:uid="{00000000-0006-0000-0800-000019000000}">
      <text>
        <r>
          <rPr>
            <sz val="10"/>
            <color indexed="81"/>
            <rFont val="Meiryo UI"/>
            <family val="3"/>
            <charset val="128"/>
          </rPr>
          <t>フランチャイズ展開</t>
        </r>
      </text>
    </comment>
    <comment ref="AY77" authorId="1" shapeId="0" xr:uid="{00000000-0006-0000-0800-00001A000000}">
      <text>
        <r>
          <rPr>
            <sz val="10"/>
            <color indexed="81"/>
            <rFont val="Meiryo UI"/>
            <family val="3"/>
            <charset val="128"/>
          </rPr>
          <t>使えるお店表示</t>
        </r>
      </text>
    </comment>
    <comment ref="AZ79" authorId="1" shapeId="0" xr:uid="{00000000-0006-0000-0800-00001B000000}">
      <text>
        <r>
          <rPr>
            <sz val="10"/>
            <color indexed="81"/>
            <rFont val="Meiryo UI"/>
            <family val="3"/>
            <charset val="128"/>
          </rPr>
          <t>申込業種</t>
        </r>
      </text>
    </comment>
    <comment ref="BA79" authorId="1" shapeId="0" xr:uid="{00000000-0006-0000-0800-00001C000000}">
      <text>
        <r>
          <rPr>
            <sz val="10"/>
            <color indexed="81"/>
            <rFont val="Meiryo UI"/>
            <family val="3"/>
            <charset val="128"/>
          </rPr>
          <t>マップ掲載</t>
        </r>
      </text>
    </comment>
    <comment ref="AV83" authorId="1" shapeId="0" xr:uid="{00000000-0006-0000-0800-00001D000000}">
      <text>
        <r>
          <rPr>
            <sz val="10"/>
            <color indexed="81"/>
            <rFont val="Meiryo UI"/>
            <family val="3"/>
            <charset val="128"/>
          </rPr>
          <t>POS用途</t>
        </r>
      </text>
    </comment>
    <comment ref="J85" authorId="1" shapeId="0" xr:uid="{00000000-0006-0000-0800-00001E000000}">
      <text>
        <r>
          <rPr>
            <sz val="11"/>
            <color indexed="81"/>
            <rFont val="Meiryo UI"/>
            <family val="3"/>
            <charset val="128"/>
          </rPr>
          <t>固定IPアドレスをご記入ください。（レンジ指定はできません）
プライベートIPの登録はできませんのでグローバルIPをご登録ください。</t>
        </r>
      </text>
    </comment>
    <comment ref="J87" authorId="1" shapeId="0" xr:uid="{00000000-0006-0000-0800-00001F000000}">
      <text>
        <r>
          <rPr>
            <sz val="11"/>
            <color indexed="81"/>
            <rFont val="Meiryo UI"/>
            <family val="3"/>
            <charset val="128"/>
          </rPr>
          <t>代表アカウントを発行することにより、
同一法人かつ同一ブランドに限り、複数店舗を1アカウントに集約して参照可能です。</t>
        </r>
        <r>
          <rPr>
            <b/>
            <sz val="9"/>
            <color indexed="81"/>
            <rFont val="MS P ゴシック"/>
            <family val="3"/>
            <charset val="128"/>
          </rPr>
          <t xml:space="preserve">
</t>
        </r>
      </text>
    </comment>
    <comment ref="AX89" authorId="2" shapeId="0" xr:uid="{00000000-0006-0000-0800-000020000000}">
      <text>
        <r>
          <rPr>
            <b/>
            <sz val="9"/>
            <color indexed="81"/>
            <rFont val="ＭＳ Ｐゴシック"/>
            <family val="3"/>
            <charset val="128"/>
          </rPr>
          <t>共通初期費用</t>
        </r>
      </text>
    </comment>
    <comment ref="AY89" authorId="2" shapeId="0" xr:uid="{00000000-0006-0000-0800-000021000000}">
      <text>
        <r>
          <rPr>
            <b/>
            <sz val="9"/>
            <color indexed="81"/>
            <rFont val="ＭＳ Ｐゴシック"/>
            <family val="3"/>
            <charset val="128"/>
          </rPr>
          <t>共通月額固定</t>
        </r>
      </text>
    </comment>
    <comment ref="CH91" authorId="1" shapeId="0" xr:uid="{00000000-0006-0000-0800-000022000000}">
      <text>
        <r>
          <rPr>
            <b/>
            <sz val="9"/>
            <color indexed="81"/>
            <rFont val="ＭＳ Ｐゴシック"/>
            <family val="3"/>
            <charset val="128"/>
          </rPr>
          <t>千葉　武士（SBPS）:</t>
        </r>
        <r>
          <rPr>
            <sz val="9"/>
            <color indexed="81"/>
            <rFont val="ＭＳ Ｐゴシック"/>
            <family val="3"/>
            <charset val="128"/>
          </rPr>
          <t xml:space="preserve">
下記「現在利用無し」から移動</t>
        </r>
      </text>
    </comment>
    <comment ref="AV109" authorId="1" shapeId="0" xr:uid="{00000000-0006-0000-0800-000023000000}">
      <text>
        <r>
          <rPr>
            <b/>
            <sz val="10"/>
            <color indexed="81"/>
            <rFont val="Meiryo UI"/>
            <family val="3"/>
            <charset val="128"/>
          </rPr>
          <t>早期・複数回入金オプション</t>
        </r>
      </text>
    </comment>
    <comment ref="AV110" authorId="1" shapeId="0" xr:uid="{00000000-0006-0000-0800-000024000000}">
      <text>
        <r>
          <rPr>
            <b/>
            <sz val="10"/>
            <color indexed="81"/>
            <rFont val="Meiryo UI"/>
            <family val="3"/>
            <charset val="128"/>
          </rPr>
          <t>POS連動申込</t>
        </r>
      </text>
    </comment>
    <comment ref="AV111" authorId="1" shapeId="0" xr:uid="{00000000-0006-0000-0800-000025000000}">
      <text>
        <r>
          <rPr>
            <b/>
            <sz val="10"/>
            <color indexed="81"/>
            <rFont val="Meiryo UI"/>
            <family val="3"/>
            <charset val="128"/>
          </rPr>
          <t>SIM申込</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H5" authorId="0" shapeId="0" xr:uid="{00000000-0006-0000-0A00-000001000000}">
      <text>
        <r>
          <rPr>
            <b/>
            <sz val="10"/>
            <color indexed="81"/>
            <rFont val="Meiryo UI"/>
            <family val="3"/>
            <charset val="128"/>
          </rPr>
          <t>千葉　武士（SBPS）:</t>
        </r>
        <r>
          <rPr>
            <sz val="10"/>
            <color indexed="81"/>
            <rFont val="Meiryo UI"/>
            <family val="3"/>
            <charset val="128"/>
          </rPr>
          <t xml:space="preserve">
チェックシート入力
必要：1
不要:0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J2" authorId="0" shapeId="0" xr:uid="{00000000-0006-0000-0B00-000001000000}">
      <text>
        <r>
          <rPr>
            <b/>
            <sz val="8"/>
            <color indexed="81"/>
            <rFont val="Meiryo UI"/>
            <family val="3"/>
            <charset val="128"/>
          </rPr>
          <t>千葉　武士（SBPS）:</t>
        </r>
        <r>
          <rPr>
            <sz val="8"/>
            <color indexed="81"/>
            <rFont val="Meiryo UI"/>
            <family val="3"/>
            <charset val="128"/>
          </rPr>
          <t xml:space="preserve">
チェックシート入力
必要：1
不要:0</t>
        </r>
      </text>
    </comment>
  </commentList>
</comments>
</file>

<file path=xl/sharedStrings.xml><?xml version="1.0" encoding="utf-8"?>
<sst xmlns="http://schemas.openxmlformats.org/spreadsheetml/2006/main" count="13101" uniqueCount="5838">
  <si>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</si>
  <si>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</si>
  <si>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</si>
  <si>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</si>
  <si>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</si>
  <si>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</si>
  <si>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</si>
  <si>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</si>
  <si>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</si>
  <si>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</si>
  <si>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</si>
  <si>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</si>
  <si>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</si>
  <si>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</si>
  <si>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</si>
  <si>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</si>
  <si>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</si>
  <si>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</si>
  <si>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口座振替</t>
  </si>
  <si>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</si>
  <si>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</si>
  <si>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</si>
  <si>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</si>
  <si>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</si>
  <si>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</si>
  <si>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</si>
  <si>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</si>
  <si>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</si>
  <si>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</si>
  <si>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</si>
  <si>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</si>
  <si>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</si>
  <si>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</si>
  <si>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</si>
  <si>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</si>
  <si>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</si>
  <si>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</si>
  <si>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</si>
  <si>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</si>
  <si>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</si>
  <si>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</si>
  <si>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</si>
  <si>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</si>
  <si>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</si>
  <si>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</si>
  <si>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</si>
  <si>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</si>
  <si>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</si>
  <si>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</si>
  <si>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</si>
  <si>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</si>
  <si>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</si>
  <si>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</si>
  <si>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</si>
  <si>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画面カスタマイズHTML</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</si>
  <si>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</si>
  <si>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</si>
  <si>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</si>
  <si>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</si>
  <si>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</si>
  <si>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</si>
  <si>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</si>
  <si>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</si>
  <si>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</si>
  <si>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</si>
  <si>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</si>
  <si>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</si>
  <si>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</si>
  <si>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</si>
  <si>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</si>
  <si>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</si>
  <si>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</si>
  <si>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</si>
  <si>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</si>
  <si>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</si>
  <si>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</si>
  <si>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</si>
  <si>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</si>
  <si>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</si>
  <si>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</si>
  <si>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</si>
  <si>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</si>
  <si>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</si>
  <si>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</si>
  <si>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</si>
  <si>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</si>
  <si>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</si>
  <si>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</si>
  <si>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売上方式</t>
  </si>
  <si>
    <t>salesperson_address</t>
  </si>
  <si>
    <t>◎</t>
    <phoneticPr fontId="4"/>
  </si>
  <si>
    <t>利用課金タイプ</t>
  </si>
  <si>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</si>
  <si>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</si>
  <si>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</si>
  <si>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</si>
  <si>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</si>
  <si>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</si>
  <si>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</si>
  <si>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</si>
  <si>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</si>
  <si>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</si>
  <si>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</si>
  <si>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</si>
  <si>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</si>
  <si>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</si>
  <si>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</si>
  <si>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</si>
  <si>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</si>
  <si>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</si>
  <si>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</si>
  <si>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</si>
  <si>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</si>
  <si>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</si>
  <si>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</si>
  <si>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</si>
  <si>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</si>
  <si>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</si>
  <si>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</si>
  <si>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</si>
  <si>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</si>
  <si>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</si>
  <si>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</si>
  <si>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払込票</t>
  </si>
  <si>
    <t>運営統括責任者所在地カナ</t>
  </si>
  <si>
    <t>運営統括責任者所在地</t>
  </si>
  <si>
    <t>Password</t>
  </si>
  <si>
    <t>101025</t>
  </si>
  <si>
    <t>運営統括責任者所在地郵便番号</t>
  </si>
  <si>
    <t>ID</t>
  </si>
  <si>
    <t>101024</t>
  </si>
  <si>
    <t>運営統括責任者EMAIL</t>
  </si>
  <si>
    <t>利用パターン</t>
  </si>
  <si>
    <t>101023</t>
  </si>
  <si>
    <t>101022</t>
  </si>
  <si>
    <t>運営統括責任者電話番号</t>
  </si>
  <si>
    <t>請求登録</t>
  </si>
  <si>
    <t>101021</t>
  </si>
  <si>
    <t>運営統括責任者役職名</t>
  </si>
  <si>
    <t>101020</t>
  </si>
  <si>
    <t>運営統括責任者会社名カナ</t>
  </si>
  <si>
    <t>101019</t>
  </si>
  <si>
    <t>運営統括責任者会社名</t>
  </si>
  <si>
    <t>101018</t>
  </si>
  <si>
    <t>運営統括責任者カナ</t>
  </si>
  <si>
    <t>カード情報保管設定</t>
  </si>
  <si>
    <t>画像認証</t>
  </si>
  <si>
    <t>101016</t>
  </si>
  <si>
    <t>accountnamekana</t>
  </si>
  <si>
    <t>口座名義カナ</t>
    <phoneticPr fontId="4"/>
  </si>
  <si>
    <t>101015</t>
  </si>
  <si>
    <t>accountname</t>
  </si>
  <si>
    <t>全角文字列</t>
    <rPh sb="0" eb="1">
      <t>ゼン</t>
    </rPh>
    <rPh sb="2" eb="5">
      <t>モジレツ</t>
    </rPh>
    <phoneticPr fontId="4"/>
  </si>
  <si>
    <t>本人認証（3Dセキュア）</t>
  </si>
  <si>
    <t>accountno</t>
  </si>
  <si>
    <t>口座番号</t>
    <phoneticPr fontId="4"/>
  </si>
  <si>
    <t>101013</t>
  </si>
  <si>
    <t>accountclass</t>
  </si>
  <si>
    <t>口座種別</t>
    <phoneticPr fontId="4"/>
  </si>
  <si>
    <t>101012</t>
  </si>
  <si>
    <t>financebranchclass</t>
  </si>
  <si>
    <t>金融機関支店種別</t>
    <phoneticPr fontId="4"/>
  </si>
  <si>
    <t>売上ファイル送達確認メールアドレス</t>
  </si>
  <si>
    <t>101011</t>
  </si>
  <si>
    <t>financebranchname</t>
  </si>
  <si>
    <t>101010</t>
  </si>
  <si>
    <t>financebranchcode</t>
  </si>
  <si>
    <t>洗替設定（要カード情報保管）</t>
  </si>
  <si>
    <t>101009</t>
  </si>
  <si>
    <t>financeclass</t>
  </si>
  <si>
    <t>海外カードブロック</t>
  </si>
  <si>
    <t>101008</t>
  </si>
  <si>
    <t>financename</t>
  </si>
  <si>
    <t>金融機関名称</t>
    <phoneticPr fontId="4"/>
  </si>
  <si>
    <t>ボーナス一括払い</t>
  </si>
  <si>
    <t>101007</t>
  </si>
  <si>
    <t>financecode</t>
  </si>
  <si>
    <t>金融機関コード</t>
    <phoneticPr fontId="4"/>
  </si>
  <si>
    <t>分割2回払い</t>
  </si>
  <si>
    <t>101006</t>
  </si>
  <si>
    <t>acquirelicense_ymd</t>
  </si>
  <si>
    <t>分割・リボ</t>
  </si>
  <si>
    <t>101005</t>
  </si>
  <si>
    <t>licenseno</t>
  </si>
  <si>
    <t>セキュリティコード（CVV2）</t>
  </si>
  <si>
    <t>101004</t>
  </si>
  <si>
    <t>licensename</t>
  </si>
  <si>
    <t>伝送</t>
  </si>
  <si>
    <t>101003</t>
  </si>
  <si>
    <t>elselicense_umuflg</t>
  </si>
  <si>
    <t>101002</t>
  </si>
  <si>
    <t>travellicense_umuflg</t>
  </si>
  <si>
    <t>101001</t>
  </si>
  <si>
    <t>medicinelicense_umuflg</t>
  </si>
  <si>
    <t>VPN（専用線）</t>
  </si>
  <si>
    <t>001047</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</si>
  <si>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</si>
  <si>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</si>
  <si>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</si>
  <si>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</si>
  <si>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</si>
  <si>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</si>
  <si>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</si>
  <si>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</si>
  <si>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</si>
  <si>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</si>
  <si>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</si>
  <si>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</si>
  <si>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</si>
  <si>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</si>
  <si>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</si>
  <si>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</si>
  <si>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</si>
  <si>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</si>
  <si>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</si>
  <si>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</si>
  <si>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</si>
  <si>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</si>
  <si>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</si>
  <si>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</si>
  <si>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</si>
  <si>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</si>
  <si>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</si>
  <si>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</si>
  <si>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</si>
  <si>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</si>
  <si>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</si>
  <si>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</si>
  <si>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</si>
  <si>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</si>
  <si>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</si>
  <si>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</si>
  <si>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</si>
  <si>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</si>
  <si>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</si>
  <si>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</si>
  <si>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</si>
  <si>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</si>
  <si>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</si>
  <si>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</si>
  <si>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</si>
  <si>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</si>
  <si>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</si>
  <si>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</si>
  <si>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</si>
  <si>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</si>
  <si>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</si>
  <si>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</si>
  <si>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</si>
  <si>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</si>
  <si>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</si>
  <si>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</si>
  <si>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</si>
  <si>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</si>
  <si>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</si>
  <si>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</si>
  <si>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</si>
  <si>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</si>
  <si>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</si>
  <si>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</si>
  <si>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</si>
  <si>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</si>
  <si>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</si>
  <si>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</si>
  <si>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</si>
  <si>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</si>
  <si>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</si>
  <si>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</si>
  <si>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</si>
  <si>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</si>
  <si>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</si>
  <si>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</si>
  <si>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</si>
  <si>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</si>
  <si>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</si>
  <si>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</si>
  <si>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</si>
  <si>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</si>
  <si>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</si>
  <si>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</si>
  <si>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</si>
  <si>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</si>
  <si>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</si>
  <si>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</si>
  <si>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</si>
  <si>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</si>
  <si>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</si>
  <si>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</si>
  <si>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</si>
  <si>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</si>
  <si>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</si>
  <si>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</si>
  <si>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</si>
  <si>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</si>
  <si>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</si>
  <si>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</si>
  <si>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</si>
  <si>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</si>
  <si>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</si>
  <si>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</si>
  <si>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</si>
  <si>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</si>
  <si>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</si>
  <si>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</si>
  <si>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</si>
  <si>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</si>
  <si>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</si>
  <si>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</si>
  <si>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</si>
  <si>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</si>
  <si>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</si>
  <si>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</si>
  <si>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</si>
  <si>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</si>
  <si>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</si>
  <si>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</si>
  <si>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</si>
  <si>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</si>
  <si>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</si>
  <si>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</si>
  <si>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</si>
  <si>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</si>
  <si>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</si>
  <si>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</si>
  <si>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</si>
  <si>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11"/>
  </si>
  <si>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</si>
  <si>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</si>
  <si>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</si>
  <si>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</si>
  <si>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</si>
  <si>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11"/>
  </si>
  <si>
    <t>申込区分</t>
    <phoneticPr fontId="4"/>
  </si>
  <si>
    <t>applykbn</t>
    <phoneticPr fontId="4"/>
  </si>
  <si>
    <t>01</t>
    <phoneticPr fontId="4"/>
  </si>
  <si>
    <t>加盟店名</t>
    <rPh sb="0" eb="2">
      <t>カメイ</t>
    </rPh>
    <rPh sb="2" eb="3">
      <t>テン</t>
    </rPh>
    <rPh sb="3" eb="4">
      <t>メイ</t>
    </rPh>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</si>
  <si>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</si>
  <si>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</si>
  <si>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</si>
  <si>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</si>
  <si>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</si>
  <si>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</si>
  <si>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00</t>
    <phoneticPr fontId="4"/>
  </si>
  <si>
    <t>0</t>
    <phoneticPr fontId="4"/>
  </si>
  <si>
    <t>【SBPS使用欄】</t>
    <rPh sb="5" eb="7">
      <t>シヨウ</t>
    </rPh>
    <rPh sb="7" eb="8">
      <t>ラン</t>
    </rPh>
    <phoneticPr fontId="4"/>
  </si>
  <si>
    <t>03：大規模小売</t>
    <rPh sb="3" eb="6">
      <t>ダイキボ</t>
    </rPh>
    <rPh sb="6" eb="8">
      <t>コウリ</t>
    </rPh>
    <phoneticPr fontId="11"/>
  </si>
  <si>
    <t>チャネルID</t>
    <phoneticPr fontId="4"/>
  </si>
  <si>
    <t>一般は6000で固定</t>
    <phoneticPr fontId="4"/>
  </si>
  <si>
    <t>channelid</t>
    <phoneticPr fontId="4"/>
  </si>
  <si>
    <t>1</t>
    <phoneticPr fontId="4"/>
  </si>
  <si>
    <t>04：宿泊施設</t>
    <rPh sb="3" eb="5">
      <t>シュクハク</t>
    </rPh>
    <rPh sb="5" eb="7">
      <t>シセツ</t>
    </rPh>
    <phoneticPr fontId="11"/>
  </si>
  <si>
    <t>MID</t>
    <phoneticPr fontId="4"/>
  </si>
  <si>
    <t>05：B2B</t>
    <phoneticPr fontId="4"/>
  </si>
  <si>
    <t>SID</t>
    <phoneticPr fontId="4"/>
  </si>
  <si>
    <t>2</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</si>
  <si>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</si>
  <si>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</si>
  <si>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</si>
  <si>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</si>
  <si>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</si>
  <si>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11"/>
  </si>
  <si>
    <t>チャネル管理番号</t>
    <phoneticPr fontId="4"/>
  </si>
  <si>
    <t>△</t>
    <phoneticPr fontId="4"/>
  </si>
  <si>
    <t>08：タクシー</t>
    <phoneticPr fontId="4"/>
  </si>
  <si>
    <t>kickback_companyname</t>
  </si>
  <si>
    <t>09：旅行</t>
    <rPh sb="3" eb="5">
      <t>リョコウ</t>
    </rPh>
    <phoneticPr fontId="11"/>
  </si>
  <si>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</si>
  <si>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</si>
  <si>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</si>
  <si>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</si>
  <si>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</si>
  <si>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11"/>
  </si>
  <si>
    <t>apply_ymd</t>
  </si>
  <si>
    <t>12：不動産</t>
    <phoneticPr fontId="4"/>
  </si>
  <si>
    <t>13：教育</t>
    <rPh sb="3" eb="5">
      <t>キョウイク</t>
    </rPh>
    <phoneticPr fontId="11"/>
  </si>
  <si>
    <t>99：サービス・その他</t>
    <rPh sb="10" eb="11">
      <t>タ</t>
    </rPh>
    <phoneticPr fontId="11"/>
  </si>
  <si>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</si>
  <si>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</si>
  <si>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</si>
  <si>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</si>
  <si>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</si>
  <si>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</si>
  <si>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</si>
  <si>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</si>
  <si>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</si>
  <si>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</si>
  <si>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</si>
  <si>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</si>
  <si>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</si>
  <si>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</si>
  <si>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</si>
  <si>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</si>
  <si>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</si>
  <si>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</si>
  <si>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</si>
  <si>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</si>
  <si>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</si>
  <si>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</si>
  <si>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</si>
  <si>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</si>
  <si>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</si>
  <si>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</si>
  <si>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</si>
  <si>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</si>
  <si>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</si>
  <si>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</si>
  <si>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</si>
  <si>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</si>
  <si>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</si>
  <si>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</si>
  <si>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</si>
  <si>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</si>
  <si>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</si>
  <si>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</si>
  <si>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</si>
  <si>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</si>
  <si>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</si>
  <si>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</si>
  <si>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公開予定日</t>
    <phoneticPr fontId="4"/>
  </si>
  <si>
    <t>サービス概要</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</si>
  <si>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</si>
  <si>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</si>
  <si>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</si>
  <si>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</si>
  <si>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</si>
  <si>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</si>
  <si>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</si>
  <si>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</si>
  <si>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</si>
  <si>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</si>
  <si>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</si>
  <si>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</si>
  <si>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</si>
  <si>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</si>
  <si>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</si>
  <si>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</si>
  <si>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</si>
  <si>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</si>
  <si>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</si>
  <si>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</si>
  <si>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</si>
  <si>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</si>
  <si>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</si>
  <si>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</si>
  <si>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</si>
  <si>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</si>
  <si>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</si>
  <si>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</si>
  <si>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</si>
  <si>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</si>
  <si>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</si>
  <si>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</si>
  <si>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</si>
  <si>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◆クレジットカード決済◆</t>
    <rPh sb="9" eb="11">
      <t>ケッサイ</t>
    </rPh>
    <phoneticPr fontId="4"/>
  </si>
  <si>
    <t>利用有無</t>
    <rPh sb="0" eb="2">
      <t>リヨウ</t>
    </rPh>
    <rPh sb="2" eb="4">
      <t>ウム</t>
    </rPh>
    <phoneticPr fontId="4"/>
  </si>
  <si>
    <t>精算区分</t>
    <rPh sb="0" eb="2">
      <t>セイサン</t>
    </rPh>
    <rPh sb="2" eb="4">
      <t>クブン</t>
    </rPh>
    <phoneticPr fontId="21"/>
  </si>
  <si>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</si>
  <si>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</si>
  <si>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</si>
  <si>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</si>
  <si>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</si>
  <si>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</si>
  <si>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</si>
  <si>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</si>
  <si>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</si>
  <si>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</si>
  <si>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申込があれば未受領がデフォルト、無ければ不要</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</si>
  <si>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</si>
  <si>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</si>
  <si>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</si>
  <si>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</si>
  <si>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</si>
  <si>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</si>
  <si>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</si>
  <si>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</si>
  <si>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</si>
  <si>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</si>
  <si>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</si>
  <si>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</si>
  <si>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1：本店　2：支店　3：支社　4：出張所</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</si>
  <si>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</si>
  <si>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</si>
  <si>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</si>
  <si>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</si>
  <si>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</si>
  <si>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</si>
  <si>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</si>
  <si>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</si>
  <si>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</si>
  <si>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</si>
  <si>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</si>
  <si>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</si>
  <si>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</si>
  <si>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</si>
  <si>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</si>
  <si>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</si>
  <si>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</si>
  <si>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</si>
  <si>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</si>
  <si>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</si>
  <si>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</si>
  <si>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</si>
  <si>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</si>
  <si>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</si>
  <si>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</si>
  <si>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</si>
  <si>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</si>
  <si>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</si>
  <si>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</si>
  <si>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</si>
  <si>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</si>
  <si>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</si>
  <si>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</si>
  <si>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</si>
  <si>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</si>
  <si>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</si>
  <si>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</si>
  <si>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</si>
  <si>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</si>
  <si>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</si>
  <si>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</si>
  <si>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</si>
  <si>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</si>
  <si>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</si>
  <si>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</si>
  <si>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</si>
  <si>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</si>
  <si>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</si>
  <si>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</si>
  <si>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</si>
  <si>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</si>
  <si>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</si>
  <si>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</si>
  <si>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</si>
  <si>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</si>
  <si>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</si>
  <si>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</si>
  <si>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</si>
  <si>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</si>
  <si>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</si>
  <si>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</si>
  <si>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</si>
  <si>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</si>
  <si>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</si>
  <si>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</si>
  <si>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</si>
  <si>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</si>
  <si>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</si>
  <si>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</si>
  <si>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</si>
  <si>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Z01</t>
    <phoneticPr fontId="4"/>
  </si>
  <si>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</si>
  <si>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</si>
  <si>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</si>
  <si>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</si>
  <si>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</si>
  <si>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</si>
  <si>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</si>
  <si>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</si>
  <si>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</si>
  <si>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技術ご担当者名</t>
    <rPh sb="3" eb="6">
      <t>タントウシャ</t>
    </rPh>
    <rPh sb="6" eb="7">
      <t>メイ</t>
    </rPh>
    <phoneticPr fontId="4"/>
  </si>
  <si>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</si>
  <si>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</si>
  <si>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</si>
  <si>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</si>
  <si>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</si>
  <si>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</si>
  <si>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</si>
  <si>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</si>
  <si>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</si>
  <si>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</si>
  <si>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</si>
  <si>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</si>
  <si>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</si>
  <si>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</si>
  <si>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</si>
  <si>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</si>
  <si>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</si>
  <si>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</si>
  <si>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</si>
  <si>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</si>
  <si>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</si>
  <si>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</si>
  <si>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</si>
  <si>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</si>
  <si>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</si>
  <si>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</si>
  <si>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</si>
  <si>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</si>
  <si>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</si>
  <si>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</si>
  <si>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</si>
  <si>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</si>
  <si>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</si>
  <si>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</si>
  <si>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</si>
  <si>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</si>
  <si>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</si>
  <si>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</si>
  <si>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■４．ご連絡先情報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</si>
  <si>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</si>
  <si>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</si>
  <si>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</si>
  <si>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</si>
  <si>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</si>
  <si>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</si>
  <si>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</si>
  <si>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100（登録25文字まで）</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</si>
  <si>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</si>
  <si>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</si>
  <si>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</si>
  <si>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</si>
  <si>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</si>
  <si>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</si>
  <si>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</si>
  <si>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</si>
  <si>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</si>
  <si>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</si>
  <si>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</si>
  <si>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</si>
  <si>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</si>
  <si>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</si>
  <si>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</si>
  <si>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</si>
  <si>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0：利用しない　1：利用する</t>
    <phoneticPr fontId="3"/>
  </si>
  <si>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</si>
  <si>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</si>
  <si>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</si>
  <si>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</si>
  <si>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</si>
  <si>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月2回は特殊</t>
    <rPh sb="0" eb="1">
      <t>ツキ</t>
    </rPh>
    <rPh sb="2" eb="3">
      <t>カイ</t>
    </rPh>
    <rPh sb="4" eb="6">
      <t>トクシュ</t>
    </rPh>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</si>
  <si>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</si>
  <si>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</si>
  <si>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</si>
  <si>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</si>
  <si>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</si>
  <si>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</si>
  <si>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</si>
  <si>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</si>
  <si>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</si>
  <si>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</si>
  <si>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</si>
  <si>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</si>
  <si>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Z06</t>
    <phoneticPr fontId="3"/>
  </si>
  <si>
    <t>担当者名</t>
    <phoneticPr fontId="4"/>
  </si>
  <si>
    <t>社員ID</t>
    <rPh sb="0" eb="2">
      <t>シャイン</t>
    </rPh>
    <phoneticPr fontId="27"/>
  </si>
  <si>
    <t>社員名称</t>
    <rPh sb="0" eb="2">
      <t>シャイン</t>
    </rPh>
    <rPh sb="2" eb="4">
      <t>メイショウ</t>
    </rPh>
    <phoneticPr fontId="27"/>
  </si>
  <si>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</si>
  <si>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</si>
  <si>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</si>
  <si>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</si>
  <si>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</si>
  <si>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</si>
  <si>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</si>
  <si>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</si>
  <si>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</si>
  <si>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</si>
  <si>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</si>
  <si>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</si>
  <si>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</si>
  <si>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</si>
  <si>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</si>
  <si>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</si>
  <si>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</si>
  <si>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</si>
  <si>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</si>
  <si>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</si>
  <si>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</si>
  <si>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</si>
  <si>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</si>
  <si>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</si>
  <si>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</si>
  <si>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</si>
  <si>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</si>
  <si>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</si>
  <si>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</si>
  <si>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</si>
  <si>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</si>
  <si>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</si>
  <si>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</si>
  <si>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</si>
  <si>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</si>
  <si>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</si>
  <si>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</si>
  <si>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</si>
  <si>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</si>
  <si>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</si>
  <si>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</si>
  <si>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27"/>
  </si>
  <si>
    <t>代理店名称</t>
    <phoneticPr fontId="27"/>
  </si>
  <si>
    <t>代理店コード</t>
    <phoneticPr fontId="27"/>
  </si>
  <si>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</si>
  <si>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</si>
  <si>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</si>
  <si>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</si>
  <si>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</si>
  <si>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</si>
  <si>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</si>
  <si>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t>
    <phoneticPr fontId="3"/>
  </si>
  <si>
    <t>ファイル与信利用有無</t>
  </si>
  <si>
    <t>与信ファイル送信先MID</t>
  </si>
  <si>
    <t>与信ファイル送信先SID</t>
  </si>
  <si>
    <t>101026</t>
  </si>
  <si>
    <t>101027</t>
  </si>
  <si>
    <t>101028</t>
  </si>
  <si>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</si>
  <si>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</si>
  <si>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</si>
  <si>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</si>
  <si>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</si>
  <si>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4"/>
  </si>
  <si>
    <t>ファイル洗替は設定依頼書からのみ</t>
    <rPh sb="7" eb="9">
      <t>セッテイ</t>
    </rPh>
    <rPh sb="9" eb="12">
      <t>イライショ</t>
    </rPh>
    <phoneticPr fontId="3"/>
  </si>
  <si>
    <t>◆</t>
    <phoneticPr fontId="3"/>
  </si>
  <si>
    <t>利用するがデフォルト</t>
    <phoneticPr fontId="3"/>
  </si>
  <si>
    <t>◎○◇</t>
    <phoneticPr fontId="4"/>
  </si>
  <si>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</si>
  <si>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</si>
  <si>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</si>
  <si>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</si>
  <si>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</si>
  <si>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</si>
  <si>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</si>
  <si>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</si>
  <si>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</si>
  <si>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</si>
  <si>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</si>
  <si>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</si>
  <si>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■クレジット基本設定</t>
  </si>
  <si>
    <t>■クレジットリンク型設定</t>
  </si>
  <si>
    <t>3Dセキュア利用の場合の携帯クレジット(3Dなし)決済</t>
  </si>
  <si>
    <t>カード情報登録画面</t>
  </si>
  <si>
    <t>■クレジット管理画面</t>
  </si>
  <si>
    <t>■クレジットSBPS決済管理ツール（梅ツール）</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</si>
  <si>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</si>
  <si>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</si>
  <si>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</si>
  <si>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</si>
  <si>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</si>
  <si>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</si>
  <si>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</si>
  <si>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1：日次　2：月次　3：月2回</t>
    <rPh sb="2" eb="4">
      <t>ニチジ</t>
    </rPh>
    <rPh sb="7" eb="9">
      <t>ゲツジ</t>
    </rPh>
    <rPh sb="12" eb="13">
      <t>ツキ</t>
    </rPh>
    <rPh sb="14" eb="15">
      <t>カイ</t>
    </rPh>
    <phoneticPr fontId="4"/>
  </si>
  <si>
    <t>0：利用しない　1：利用する(必須) 　2：利用する(任意)</t>
    <rPh sb="10" eb="12">
      <t>リヨウ</t>
    </rPh>
    <rPh sb="15" eb="17">
      <t>ヒッス</t>
    </rPh>
    <rPh sb="22" eb="24">
      <t>リヨウ</t>
    </rPh>
    <rPh sb="27" eb="29">
      <t>ニンイ</t>
    </rPh>
    <phoneticPr fontId="4"/>
  </si>
  <si>
    <t>0：利用しない　1：自動洗替　2：ファイル洗替</t>
  </si>
  <si>
    <t>1：自動売上　2：指定売上　3：ファイル売上</t>
    <rPh sb="9" eb="11">
      <t>シテイ</t>
    </rPh>
    <rPh sb="11" eb="13">
      <t>ウリアゲ</t>
    </rPh>
    <rPh sb="20" eb="22">
      <t>ウリアゲ</t>
    </rPh>
    <phoneticPr fontId="4"/>
  </si>
  <si>
    <t>0：利用しない　1：利用する（完全）　2：利用する（バイパス有）</t>
  </si>
  <si>
    <t>0：利用しない　1：利用する(必須)　2：利用する(任意)</t>
  </si>
  <si>
    <t>0：不要　1：未受領　2：受領済み</t>
  </si>
  <si>
    <t>00：利用しない　01：パターン1　02：パターン2　03：パターン3　04：パターン4　05：パターン5　06：パターン6　07：パターン7　08：パターン8</t>
    <rPh sb="3" eb="5">
      <t>リヨウ</t>
    </rPh>
    <phoneticPr fontId="4"/>
  </si>
  <si>
    <t>001002</t>
    <phoneticPr fontId="3"/>
  </si>
  <si>
    <t>現状固定</t>
    <phoneticPr fontId="3"/>
  </si>
  <si>
    <t>現状固定</t>
    <phoneticPr fontId="3"/>
  </si>
  <si>
    <t>001013</t>
    <phoneticPr fontId="3"/>
  </si>
  <si>
    <t>記入例：domain.co.jp</t>
    <phoneticPr fontId="3"/>
  </si>
  <si>
    <t>◎○</t>
    <phoneticPr fontId="4"/>
  </si>
  <si>
    <t>利用する（任意）は特殊。通常は利用する（必須）を選択で固定。利用する場合デフォルトを必須としておくと、TBX有りの場合はFEP：任意+画面制御（≒必須）、TBX：任意で構築されるため。</t>
    <phoneticPr fontId="4"/>
  </si>
  <si>
    <t>クレジット継続課金（簡易）が有る場合は、必須　無い場合は任意がデフォルト</t>
    <rPh sb="23" eb="24">
      <t>ナ</t>
    </rPh>
    <rPh sb="25" eb="27">
      <t>バアイ</t>
    </rPh>
    <rPh sb="28" eb="30">
      <t>ニンイ</t>
    </rPh>
    <phoneticPr fontId="4"/>
  </si>
  <si>
    <t>SBTから発行されたID/PWを入れると完了通知にURLと共に案内される</t>
    <phoneticPr fontId="3"/>
  </si>
  <si>
    <t>2</t>
    <phoneticPr fontId="4"/>
  </si>
  <si>
    <t>固定</t>
    <phoneticPr fontId="3"/>
  </si>
  <si>
    <t>1：都度のみ　2：都度+継続（簡易）　3：継続（簡易）のみ</t>
    <phoneticPr fontId="3"/>
  </si>
  <si>
    <t>14：寄付</t>
    <phoneticPr fontId="11"/>
  </si>
  <si>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</si>
  <si>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</si>
  <si>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</si>
  <si>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</si>
  <si>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</si>
  <si>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</si>
  <si>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</si>
  <si>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</si>
  <si>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</si>
  <si>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口座番号</t>
    <phoneticPr fontId="4"/>
  </si>
  <si>
    <t>口座名義</t>
    <phoneticPr fontId="4"/>
  </si>
  <si>
    <t>フリガナ</t>
    <phoneticPr fontId="4"/>
  </si>
  <si>
    <t>E-mailアドレス</t>
    <phoneticPr fontId="4"/>
  </si>
  <si>
    <t>〶</t>
    <phoneticPr fontId="4"/>
  </si>
  <si>
    <t>-</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</si>
  <si>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</si>
  <si>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</si>
  <si>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</si>
  <si>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</si>
  <si>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</si>
  <si>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</si>
  <si>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</si>
  <si>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</si>
  <si>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</si>
  <si>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</si>
  <si>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</si>
  <si>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●販売形態</t>
    <rPh sb="1" eb="3">
      <t>ハンバイ</t>
    </rPh>
    <rPh sb="3" eb="5">
      <t>ケイタイ</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</si>
  <si>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</si>
  <si>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</si>
  <si>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</si>
  <si>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</si>
  <si>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</si>
  <si>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</si>
  <si>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</si>
  <si>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</si>
  <si>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</si>
  <si>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</si>
  <si>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</si>
  <si>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</si>
  <si>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</si>
  <si>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</si>
  <si>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</si>
  <si>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</si>
  <si>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</si>
  <si>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</si>
  <si>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</si>
  <si>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</si>
  <si>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</si>
  <si>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</si>
  <si>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</si>
  <si>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</si>
  <si>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</si>
  <si>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</si>
  <si>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</si>
  <si>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</si>
  <si>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</si>
  <si>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r>
      <t xml:space="preserve">事業内容
</t>
    </r>
    <r>
      <rPr>
        <sz val="10"/>
        <rFont val="Meiryo UI"/>
        <family val="3"/>
        <charset val="128"/>
      </rPr>
      <t>（200文字まで）</t>
    </r>
    <rPh sb="0" eb="2">
      <t>ジギョウ</t>
    </rPh>
    <rPh sb="2" eb="4">
      <t>ナイヨウ</t>
    </rPh>
    <phoneticPr fontId="4"/>
  </si>
  <si>
    <t>　会社所在地と同じ</t>
    <rPh sb="1" eb="3">
      <t>カイシャ</t>
    </rPh>
    <rPh sb="3" eb="6">
      <t>ショザイチ</t>
    </rPh>
    <rPh sb="7" eb="8">
      <t>オナ</t>
    </rPh>
    <phoneticPr fontId="3"/>
  </si>
  <si>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</si>
  <si>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</si>
  <si>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</si>
  <si>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</si>
  <si>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</si>
  <si>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</si>
  <si>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</si>
  <si>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</si>
  <si>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</si>
  <si>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</si>
  <si>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</si>
  <si>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</si>
  <si>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</si>
  <si>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</si>
  <si>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</si>
  <si>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</si>
  <si>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r>
      <t xml:space="preserve">業種
</t>
    </r>
    <r>
      <rPr>
        <sz val="10"/>
        <rFont val="Meiryo UI"/>
        <family val="3"/>
        <charset val="128"/>
      </rPr>
      <t>(200文字まで）</t>
    </r>
    <phoneticPr fontId="4"/>
  </si>
  <si>
    <t>販売形態</t>
    <rPh sb="0" eb="2">
      <t>ハンバイ</t>
    </rPh>
    <rPh sb="2" eb="4">
      <t>ケイタイ</t>
    </rPh>
    <phoneticPr fontId="3"/>
  </si>
  <si>
    <t>円</t>
    <rPh sb="0" eb="1">
      <t>エン</t>
    </rPh>
    <phoneticPr fontId="3"/>
  </si>
  <si>
    <t>日中連絡先電話番号</t>
    <rPh sb="0" eb="2">
      <t>ニッチュウ</t>
    </rPh>
    <rPh sb="2" eb="5">
      <t>レンラクサキ</t>
    </rPh>
    <rPh sb="5" eb="7">
      <t>デンワ</t>
    </rPh>
    <rPh sb="7" eb="9">
      <t>バンゴウ</t>
    </rPh>
    <phoneticPr fontId="4"/>
  </si>
  <si>
    <t>請求書
送付先住所</t>
    <phoneticPr fontId="4"/>
  </si>
  <si>
    <t>請求書送付先住所</t>
    <phoneticPr fontId="3"/>
  </si>
  <si>
    <t>店舗所在地</t>
    <rPh sb="0" eb="2">
      <t>テンポ</t>
    </rPh>
    <rPh sb="2" eb="5">
      <t>ショザイチ</t>
    </rPh>
    <phoneticPr fontId="3"/>
  </si>
  <si>
    <t>01</t>
    <phoneticPr fontId="4"/>
  </si>
  <si>
    <t>収納明細に表示される名称　25文字まで</t>
    <phoneticPr fontId="3"/>
  </si>
  <si>
    <t>お申し込みいただく「カードブランド」「支払方法」等の決済手段についてご記入ください。
【注意事項】ご希望の「支払方法」も含めて、加盟店審査を行います。お取扱いをご希望になる「支払方法」をご選択ください。</t>
    <phoneticPr fontId="3"/>
  </si>
  <si>
    <t>申込</t>
    <phoneticPr fontId="4"/>
  </si>
  <si>
    <t>入金経路</t>
    <phoneticPr fontId="4"/>
  </si>
  <si>
    <t>希望数</t>
    <rPh sb="0" eb="2">
      <t>キボウ</t>
    </rPh>
    <rPh sb="2" eb="3">
      <t>スウ</t>
    </rPh>
    <phoneticPr fontId="3"/>
  </si>
  <si>
    <t>台</t>
    <rPh sb="0" eb="1">
      <t>ダイ</t>
    </rPh>
    <phoneticPr fontId="3"/>
  </si>
  <si>
    <t>箱</t>
    <rPh sb="0" eb="1">
      <t>ハコ</t>
    </rPh>
    <phoneticPr fontId="3"/>
  </si>
  <si>
    <t>SBPS使用欄</t>
    <rPh sb="4" eb="6">
      <t>シヨウ</t>
    </rPh>
    <rPh sb="6" eb="7">
      <t>ラン</t>
    </rPh>
    <phoneticPr fontId="3"/>
  </si>
  <si>
    <t>◆端末情報◆</t>
    <rPh sb="1" eb="3">
      <t>タンマツ</t>
    </rPh>
    <rPh sb="3" eb="5">
      <t>ジョウホウ</t>
    </rPh>
    <phoneticPr fontId="3"/>
  </si>
  <si>
    <t>■返送先</t>
    <rPh sb="1" eb="3">
      <t>ヘンソウ</t>
    </rPh>
    <rPh sb="3" eb="4">
      <t>サキ</t>
    </rPh>
    <phoneticPr fontId="3"/>
  </si>
  <si>
    <t>2 回 払 い</t>
    <phoneticPr fontId="3"/>
  </si>
  <si>
    <t>分 割 払 い</t>
    <phoneticPr fontId="3"/>
  </si>
  <si>
    <t>リボルビング払い</t>
    <phoneticPr fontId="3"/>
  </si>
  <si>
    <t>ボーナス一括払い</t>
    <phoneticPr fontId="3"/>
  </si>
  <si>
    <t>分割回数：3・5・6・10・12・15・18・20・24回</t>
    <phoneticPr fontId="3"/>
  </si>
  <si>
    <r>
      <t xml:space="preserve">ツール＆端末等 送付先
</t>
    </r>
    <r>
      <rPr>
        <sz val="10"/>
        <color rgb="FFFF6600"/>
        <rFont val="Meiryo UI"/>
        <family val="3"/>
        <charset val="128"/>
      </rPr>
      <t>※お申し込みの端末の
送付先住所を1ヵ所ご選択ください。</t>
    </r>
    <rPh sb="6" eb="7">
      <t>ナド</t>
    </rPh>
    <rPh sb="14" eb="15">
      <t>モウ</t>
    </rPh>
    <rPh sb="16" eb="17">
      <t>コ</t>
    </rPh>
    <rPh sb="19" eb="21">
      <t>タンマツ</t>
    </rPh>
    <rPh sb="23" eb="25">
      <t>ソウフ</t>
    </rPh>
    <rPh sb="25" eb="26">
      <t>サキ</t>
    </rPh>
    <rPh sb="26" eb="28">
      <t>ジュウショ</t>
    </rPh>
    <rPh sb="31" eb="32">
      <t>ショ</t>
    </rPh>
    <rPh sb="33" eb="35">
      <t>センタク</t>
    </rPh>
    <phoneticPr fontId="3"/>
  </si>
  <si>
    <t>代表者居住地</t>
    <rPh sb="0" eb="3">
      <t>ダイヒョウシャ</t>
    </rPh>
    <rPh sb="3" eb="6">
      <t>キョジュウチ</t>
    </rPh>
    <phoneticPr fontId="4"/>
  </si>
  <si>
    <t>店舗 所在地</t>
    <phoneticPr fontId="3"/>
  </si>
  <si>
    <r>
      <t xml:space="preserve">店舗所在地
</t>
    </r>
    <r>
      <rPr>
        <sz val="10"/>
        <color rgb="FFFF6600"/>
        <rFont val="Meiryo UI"/>
        <family val="3"/>
        <charset val="128"/>
      </rPr>
      <t>※「3.お取扱い商品・サービス」の「店舗所在地」に
まとめて送付します。</t>
    </r>
    <rPh sb="2" eb="5">
      <t>ショザイチ</t>
    </rPh>
    <rPh sb="36" eb="38">
      <t>ソウフ</t>
    </rPh>
    <phoneticPr fontId="3"/>
  </si>
  <si>
    <t>ご精算について</t>
    <rPh sb="1" eb="3">
      <t>セイサン</t>
    </rPh>
    <phoneticPr fontId="3"/>
  </si>
  <si>
    <t>事業展開店舗数</t>
    <rPh sb="0" eb="2">
      <t>ジギョウ</t>
    </rPh>
    <rPh sb="2" eb="4">
      <t>テンカイ</t>
    </rPh>
    <rPh sb="4" eb="7">
      <t>テンポスウ</t>
    </rPh>
    <phoneticPr fontId="4"/>
  </si>
  <si>
    <r>
      <t xml:space="preserve">月間カード取扱金額
</t>
    </r>
    <r>
      <rPr>
        <sz val="10"/>
        <rFont val="Meiryo UI"/>
        <family val="3"/>
        <charset val="128"/>
      </rPr>
      <t>（目安）</t>
    </r>
    <rPh sb="0" eb="2">
      <t>ゲッカン</t>
    </rPh>
    <phoneticPr fontId="3"/>
  </si>
  <si>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</si>
  <si>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</si>
  <si>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</si>
  <si>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</si>
  <si>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</si>
  <si>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</si>
  <si>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</si>
  <si>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</si>
  <si>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</si>
  <si>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</si>
  <si>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※1回払いのみとなります。</t>
    <rPh sb="2" eb="3">
      <t>カイ</t>
    </rPh>
    <rPh sb="3" eb="4">
      <t>ハラ</t>
    </rPh>
    <phoneticPr fontId="3"/>
  </si>
  <si>
    <t>旅客運送業</t>
    <rPh sb="0" eb="2">
      <t>リョキャク</t>
    </rPh>
    <rPh sb="2" eb="4">
      <t>ウンソウ</t>
    </rPh>
    <rPh sb="4" eb="5">
      <t>ギョウ</t>
    </rPh>
    <phoneticPr fontId="4"/>
  </si>
  <si>
    <t>10601</t>
    <phoneticPr fontId="3"/>
  </si>
  <si>
    <t>旅客運送業</t>
    <phoneticPr fontId="3"/>
  </si>
  <si>
    <t>リアルクレジット</t>
    <phoneticPr fontId="4"/>
  </si>
  <si>
    <t>10602</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</si>
  <si>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</si>
  <si>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</si>
  <si>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</si>
  <si>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</si>
  <si>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</si>
  <si>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</si>
  <si>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</si>
  <si>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業種</t>
    <phoneticPr fontId="3"/>
  </si>
  <si>
    <t>month_handlingamount</t>
    <phoneticPr fontId="3"/>
  </si>
  <si>
    <t>月次取扱高見込</t>
    <phoneticPr fontId="3"/>
  </si>
  <si>
    <t>リアルクレジット</t>
    <phoneticPr fontId="3"/>
  </si>
  <si>
    <t>事業展開店舗数</t>
    <rPh sb="0" eb="2">
      <t>ジギョウ</t>
    </rPh>
    <rPh sb="2" eb="4">
      <t>テンカイ</t>
    </rPh>
    <rPh sb="4" eb="7">
      <t>テンポスウ</t>
    </rPh>
    <phoneticPr fontId="2"/>
  </si>
  <si>
    <t>代表者FAX</t>
    <rPh sb="0" eb="2">
      <t>ダイヒョウ</t>
    </rPh>
    <rPh sb="2" eb="3">
      <t>シャ</t>
    </rPh>
    <phoneticPr fontId="2"/>
  </si>
  <si>
    <t>個人法人区分</t>
    <rPh sb="0" eb="2">
      <t>コジン</t>
    </rPh>
    <rPh sb="2" eb="4">
      <t>ホウジン</t>
    </rPh>
    <rPh sb="4" eb="6">
      <t>クブン</t>
    </rPh>
    <phoneticPr fontId="2"/>
  </si>
  <si>
    <t>販売形態</t>
    <rPh sb="0" eb="2">
      <t>ハンバイ</t>
    </rPh>
    <rPh sb="2" eb="4">
      <t>ケイタイ</t>
    </rPh>
    <phoneticPr fontId="2"/>
  </si>
  <si>
    <t>販売形態（その他）</t>
    <rPh sb="0" eb="2">
      <t>ハンバイ</t>
    </rPh>
    <rPh sb="2" eb="4">
      <t>ケイタイ</t>
    </rPh>
    <rPh sb="7" eb="8">
      <t>タ</t>
    </rPh>
    <phoneticPr fontId="2"/>
  </si>
  <si>
    <t>2 回 払 い</t>
  </si>
  <si>
    <t>分 割 払 い</t>
  </si>
  <si>
    <t>リボルビング払い</t>
  </si>
  <si>
    <t>JCB取次希望</t>
  </si>
  <si>
    <t>【箱数】ロール紙（10巻/箱）</t>
    <rPh sb="1" eb="2">
      <t>ハコ</t>
    </rPh>
    <rPh sb="2" eb="3">
      <t>スウ</t>
    </rPh>
    <rPh sb="7" eb="8">
      <t>シ</t>
    </rPh>
    <rPh sb="11" eb="12">
      <t>マキ</t>
    </rPh>
    <rPh sb="13" eb="14">
      <t>ハコ</t>
    </rPh>
    <phoneticPr fontId="3"/>
  </si>
  <si>
    <t>端末代金　小計</t>
    <rPh sb="0" eb="2">
      <t>タンマツ</t>
    </rPh>
    <rPh sb="2" eb="4">
      <t>ダイキン</t>
    </rPh>
    <rPh sb="5" eb="7">
      <t>ショウケイ</t>
    </rPh>
    <phoneticPr fontId="2"/>
  </si>
  <si>
    <t>ツール＆端末送付先</t>
  </si>
  <si>
    <t>0：希望しない　1：希望する</t>
    <rPh sb="2" eb="4">
      <t>キボウ</t>
    </rPh>
    <rPh sb="10" eb="12">
      <t>キボウ</t>
    </rPh>
    <phoneticPr fontId="3"/>
  </si>
  <si>
    <t>1：会社所在地　2：店舗所在地</t>
    <rPh sb="2" eb="4">
      <t>カイシャ</t>
    </rPh>
    <rPh sb="4" eb="7">
      <t>ショザイチ</t>
    </rPh>
    <rPh sb="10" eb="12">
      <t>テンポ</t>
    </rPh>
    <rPh sb="12" eb="15">
      <t>ショザイチ</t>
    </rPh>
    <phoneticPr fontId="3"/>
  </si>
  <si>
    <t>10603</t>
  </si>
  <si>
    <t>10604</t>
  </si>
  <si>
    <t>支払回数</t>
    <rPh sb="0" eb="2">
      <t>シハライ</t>
    </rPh>
    <rPh sb="2" eb="4">
      <t>カイスウ</t>
    </rPh>
    <phoneticPr fontId="3"/>
  </si>
  <si>
    <t>14</t>
    <phoneticPr fontId="3"/>
  </si>
  <si>
    <t>10605</t>
    <phoneticPr fontId="3"/>
  </si>
  <si>
    <t>銀聯</t>
    <phoneticPr fontId="3"/>
  </si>
  <si>
    <t>2Y5</t>
  </si>
  <si>
    <t>2Y6</t>
  </si>
  <si>
    <t>2Y7</t>
  </si>
  <si>
    <t>2Y8</t>
  </si>
  <si>
    <t>2Y9</t>
  </si>
  <si>
    <t>2YA</t>
  </si>
  <si>
    <t>2YB</t>
  </si>
  <si>
    <t>2YC</t>
  </si>
  <si>
    <t>2YD</t>
  </si>
  <si>
    <t>2YE</t>
  </si>
  <si>
    <t>2YF</t>
  </si>
  <si>
    <t>2YG</t>
  </si>
  <si>
    <t>2YH</t>
  </si>
  <si>
    <t>2YI</t>
  </si>
  <si>
    <t>2YJ</t>
  </si>
  <si>
    <t>2YK</t>
  </si>
  <si>
    <t>00：未設定　01：店頭販売　02：催事販売　03：訪問販売　04：移動販売（タクシー含む）　05：その他</t>
    <rPh sb="3" eb="6">
      <t>ミセッテイ</t>
    </rPh>
    <rPh sb="10" eb="12">
      <t>テントウ</t>
    </rPh>
    <rPh sb="12" eb="14">
      <t>ハンバイ</t>
    </rPh>
    <rPh sb="18" eb="20">
      <t>サイジ</t>
    </rPh>
    <rPh sb="20" eb="22">
      <t>ハンバイ</t>
    </rPh>
    <rPh sb="26" eb="28">
      <t>ホウモン</t>
    </rPh>
    <rPh sb="28" eb="30">
      <t>ハンバイ</t>
    </rPh>
    <rPh sb="34" eb="36">
      <t>イドウ</t>
    </rPh>
    <rPh sb="36" eb="38">
      <t>ハンバイ</t>
    </rPh>
    <rPh sb="43" eb="44">
      <t>フク</t>
    </rPh>
    <rPh sb="52" eb="53">
      <t>タ</t>
    </rPh>
    <phoneticPr fontId="3"/>
  </si>
  <si>
    <t>1：法人　2：個人・個人事業主</t>
    <rPh sb="2" eb="4">
      <t>ホウジン</t>
    </rPh>
    <rPh sb="7" eb="9">
      <t>コジン</t>
    </rPh>
    <rPh sb="10" eb="12">
      <t>コジン</t>
    </rPh>
    <rPh sb="12" eb="15">
      <t>ジギョウヌシ</t>
    </rPh>
    <phoneticPr fontId="3"/>
  </si>
  <si>
    <t>106001</t>
    <phoneticPr fontId="3"/>
  </si>
  <si>
    <t>0：通常案件　1：自動構築前案件　2：特殊案件　
3：SE案件（通常）　4：SE案件（特殊）</t>
    <phoneticPr fontId="3"/>
  </si>
  <si>
    <t>「端末決済サービス」を利用して信用販売（支払い受付）を行う、主な商品・サービスについてご記入ください。</t>
    <rPh sb="15" eb="17">
      <t>シンヨウ</t>
    </rPh>
    <rPh sb="17" eb="19">
      <t>ハンバイ</t>
    </rPh>
    <rPh sb="20" eb="22">
      <t>シハラ</t>
    </rPh>
    <rPh sb="23" eb="25">
      <t>ウケツケ</t>
    </rPh>
    <phoneticPr fontId="3"/>
  </si>
  <si>
    <t>2YL</t>
  </si>
  <si>
    <t>2YM</t>
  </si>
  <si>
    <t>2Y1</t>
  </si>
  <si>
    <t>2Y2</t>
  </si>
  <si>
    <t>VISA/MASTER</t>
  </si>
  <si>
    <t>銀聯</t>
  </si>
  <si>
    <t>2YN</t>
  </si>
  <si>
    <t>店舗電話番号</t>
    <rPh sb="0" eb="2">
      <t>テンポ</t>
    </rPh>
    <rPh sb="2" eb="4">
      <t>デンワ</t>
    </rPh>
    <rPh sb="4" eb="6">
      <t>バンゴウ</t>
    </rPh>
    <phoneticPr fontId="3"/>
  </si>
  <si>
    <t>利用開始希望日</t>
    <phoneticPr fontId="4"/>
  </si>
  <si>
    <t>宛先メールアドレス</t>
    <rPh sb="0" eb="2">
      <t>アテサキ</t>
    </rPh>
    <phoneticPr fontId="3"/>
  </si>
  <si>
    <t>送付書類</t>
    <rPh sb="0" eb="2">
      <t>ソウフ</t>
    </rPh>
    <rPh sb="2" eb="4">
      <t>ショルイ</t>
    </rPh>
    <phoneticPr fontId="3"/>
  </si>
  <si>
    <t>夏：12月1日～6月30日 ⇒ 7月末振込　　　冬：7月1日～11月30日 ⇒ 12月末振込</t>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</si>
  <si>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</si>
  <si>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</si>
  <si>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</si>
  <si>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</si>
  <si>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</si>
  <si>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</si>
  <si>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月額固定費（税抜）</t>
    <rPh sb="0" eb="2">
      <t>ゲツガク</t>
    </rPh>
    <rPh sb="2" eb="5">
      <t>コテイヒ</t>
    </rPh>
    <rPh sb="6" eb="7">
      <t>ゼイ</t>
    </rPh>
    <rPh sb="7" eb="8">
      <t>ヌ</t>
    </rPh>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</si>
  <si>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</si>
  <si>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</si>
  <si>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</si>
  <si>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</si>
  <si>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</si>
  <si>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</si>
  <si>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</si>
  <si>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</si>
  <si>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</si>
  <si>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</si>
  <si>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</si>
  <si>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</si>
  <si>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</si>
  <si>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11"/>
  </si>
  <si>
    <t>9999992</t>
  </si>
  <si>
    <t>チャネル営業部</t>
    <rPh sb="4" eb="6">
      <t>エイギョウ</t>
    </rPh>
    <rPh sb="6" eb="7">
      <t>ブ</t>
    </rPh>
    <phoneticPr fontId="3"/>
  </si>
  <si>
    <t>SBPS経由</t>
    <phoneticPr fontId="3"/>
  </si>
  <si>
    <t>加盟店サポート</t>
    <rPh sb="0" eb="2">
      <t>カメイ</t>
    </rPh>
    <rPh sb="2" eb="3">
      <t>テン</t>
    </rPh>
    <phoneticPr fontId="3"/>
  </si>
  <si>
    <t>10606</t>
  </si>
  <si>
    <t>10607</t>
  </si>
  <si>
    <t>申込</t>
    <rPh sb="0" eb="2">
      <t>モウシコ</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</si>
  <si>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</si>
  <si>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</si>
  <si>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</si>
  <si>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◆端末登録機能◆</t>
    <rPh sb="1" eb="3">
      <t>タンマツ</t>
    </rPh>
    <rPh sb="3" eb="5">
      <t>トウロク</t>
    </rPh>
    <rPh sb="5" eb="7">
      <t>キノウ</t>
    </rPh>
    <phoneticPr fontId="4"/>
  </si>
  <si>
    <t>クレジットカード</t>
    <phoneticPr fontId="3"/>
  </si>
  <si>
    <t>サービス名称</t>
    <rPh sb="4" eb="6">
      <t>メイショウ</t>
    </rPh>
    <phoneticPr fontId="3"/>
  </si>
  <si>
    <t>端末1台あたり</t>
    <rPh sb="0" eb="2">
      <t>タンマツ</t>
    </rPh>
    <rPh sb="3" eb="4">
      <t>ダイ</t>
    </rPh>
    <phoneticPr fontId="3"/>
  </si>
  <si>
    <t>初期費用
（税抜）</t>
    <rPh sb="0" eb="2">
      <t>ショキ</t>
    </rPh>
    <rPh sb="2" eb="4">
      <t>ヒヨウ</t>
    </rPh>
    <rPh sb="6" eb="7">
      <t>ゼイ</t>
    </rPh>
    <rPh sb="7" eb="8">
      <t>ヌ</t>
    </rPh>
    <phoneticPr fontId="3"/>
  </si>
  <si>
    <t>法人名称</t>
    <rPh sb="0" eb="2">
      <t>ホウジン</t>
    </rPh>
    <rPh sb="2" eb="4">
      <t>メイショウ</t>
    </rPh>
    <phoneticPr fontId="3"/>
  </si>
  <si>
    <t>端末登録機能における事前確認事項</t>
    <rPh sb="0" eb="2">
      <t>タンマツ</t>
    </rPh>
    <rPh sb="2" eb="4">
      <t>トウロク</t>
    </rPh>
    <rPh sb="4" eb="6">
      <t>キノウ</t>
    </rPh>
    <rPh sb="10" eb="12">
      <t>ジゼン</t>
    </rPh>
    <rPh sb="12" eb="14">
      <t>カクニン</t>
    </rPh>
    <rPh sb="14" eb="16">
      <t>ジコウ</t>
    </rPh>
    <phoneticPr fontId="3"/>
  </si>
  <si>
    <t>登録トランザクション費（税抜）</t>
    <rPh sb="0" eb="2">
      <t>トウロク</t>
    </rPh>
    <rPh sb="10" eb="11">
      <t>ヒ</t>
    </rPh>
    <rPh sb="12" eb="14">
      <t>ゼイヌキ</t>
    </rPh>
    <phoneticPr fontId="3"/>
  </si>
  <si>
    <t>合計</t>
    <rPh sb="0" eb="2">
      <t>ゴウケイ</t>
    </rPh>
    <phoneticPr fontId="3"/>
  </si>
  <si>
    <t>登録正常完了</t>
    <rPh sb="0" eb="2">
      <t>トウロク</t>
    </rPh>
    <rPh sb="2" eb="4">
      <t>セイジョウ</t>
    </rPh>
    <rPh sb="4" eb="6">
      <t>カンリョウ</t>
    </rPh>
    <phoneticPr fontId="3"/>
  </si>
  <si>
    <t>登録未完了</t>
    <rPh sb="0" eb="2">
      <t>トウロク</t>
    </rPh>
    <rPh sb="2" eb="5">
      <t>ミカンリョウ</t>
    </rPh>
    <phoneticPr fontId="3"/>
  </si>
  <si>
    <t>口座振替サービス</t>
    <rPh sb="0" eb="2">
      <t>コウザ</t>
    </rPh>
    <rPh sb="2" eb="4">
      <t>フリカエ</t>
    </rPh>
    <phoneticPr fontId="3"/>
  </si>
  <si>
    <t>登録先
加盟店情報</t>
    <rPh sb="0" eb="2">
      <t>トウロク</t>
    </rPh>
    <rPh sb="2" eb="3">
      <t>サキ</t>
    </rPh>
    <rPh sb="4" eb="6">
      <t>カメイ</t>
    </rPh>
    <rPh sb="6" eb="7">
      <t>テン</t>
    </rPh>
    <rPh sb="7" eb="9">
      <t>ジョウホウ</t>
    </rPh>
    <phoneticPr fontId="3"/>
  </si>
  <si>
    <t>口座振替サービス</t>
    <rPh sb="0" eb="2">
      <t>コウザ</t>
    </rPh>
    <rPh sb="2" eb="3">
      <t>シン</t>
    </rPh>
    <rPh sb="3" eb="4">
      <t>タイ</t>
    </rPh>
    <phoneticPr fontId="3"/>
  </si>
  <si>
    <t>端末登録機能の登録先として、左記の登録先加盟店へ
事前に同意を得ました</t>
    <phoneticPr fontId="3"/>
  </si>
  <si>
    <t>-</t>
  </si>
  <si>
    <t>70701</t>
    <phoneticPr fontId="3"/>
  </si>
  <si>
    <t>70702</t>
  </si>
  <si>
    <t>70703</t>
  </si>
  <si>
    <t>00</t>
    <phoneticPr fontId="3"/>
  </si>
  <si>
    <t>法人所在地</t>
    <rPh sb="0" eb="2">
      <t>ホウジン</t>
    </rPh>
    <rPh sb="2" eb="5">
      <t>ショザイチ</t>
    </rPh>
    <phoneticPr fontId="3"/>
  </si>
  <si>
    <t>特記</t>
    <rPh sb="0" eb="2">
      <t>トッキ</t>
    </rPh>
    <phoneticPr fontId="3"/>
  </si>
  <si>
    <t>マーチャントID</t>
    <phoneticPr fontId="3"/>
  </si>
  <si>
    <t>サービスID</t>
    <phoneticPr fontId="3"/>
  </si>
  <si>
    <t>/件</t>
    <rPh sb="1" eb="2">
      <t>ケン</t>
    </rPh>
    <phoneticPr fontId="3"/>
  </si>
  <si>
    <r>
      <t xml:space="preserve">法人所在地
</t>
    </r>
    <r>
      <rPr>
        <sz val="10"/>
        <color rgb="FFFF6600"/>
        <rFont val="Meiryo UI"/>
        <family val="3"/>
        <charset val="128"/>
      </rPr>
      <t>※「1.法人・店舗情報」の「会社所在地」に
まとめて送付します。</t>
    </r>
    <rPh sb="0" eb="2">
      <t>ホウジン</t>
    </rPh>
    <rPh sb="2" eb="5">
      <t>ショザイチ</t>
    </rPh>
    <rPh sb="20" eb="22">
      <t>カイシャ</t>
    </rPh>
    <rPh sb="22" eb="25">
      <t>ショザイチ</t>
    </rPh>
    <rPh sb="32" eb="34">
      <t>ソウフ</t>
    </rPh>
    <phoneticPr fontId="3"/>
  </si>
  <si>
    <t>登録先MSID（オンラインクレジット）</t>
    <phoneticPr fontId="3"/>
  </si>
  <si>
    <t>登録先MSID（口座振替）</t>
    <phoneticPr fontId="3"/>
  </si>
  <si>
    <t>2YP</t>
    <phoneticPr fontId="3"/>
  </si>
  <si>
    <t>2YQ</t>
    <phoneticPr fontId="3"/>
  </si>
  <si>
    <t>※クレジットカード決済でJCB取次をご希望にならない場合
端末登録機能においてもJCB/AMEX/DINERSはご利用になれません</t>
    <rPh sb="9" eb="11">
      <t>ケッサイ</t>
    </rPh>
    <rPh sb="15" eb="17">
      <t>トリツギ</t>
    </rPh>
    <rPh sb="19" eb="21">
      <t>キボウ</t>
    </rPh>
    <rPh sb="26" eb="28">
      <t>バアイ</t>
    </rPh>
    <rPh sb="29" eb="31">
      <t>タンマツ</t>
    </rPh>
    <rPh sb="31" eb="33">
      <t>トウロク</t>
    </rPh>
    <rPh sb="33" eb="35">
      <t>キノウ</t>
    </rPh>
    <rPh sb="57" eb="59">
      <t>リヨウ</t>
    </rPh>
    <phoneticPr fontId="3"/>
  </si>
  <si>
    <t>口座振替サービス（端末登録）</t>
    <rPh sb="0" eb="2">
      <t>コウザ</t>
    </rPh>
    <rPh sb="2" eb="4">
      <t>フリカエ</t>
    </rPh>
    <rPh sb="9" eb="11">
      <t>タンマツ</t>
    </rPh>
    <rPh sb="11" eb="13">
      <t>トウロク</t>
    </rPh>
    <phoneticPr fontId="3"/>
  </si>
  <si>
    <t>707001</t>
    <phoneticPr fontId="3"/>
  </si>
  <si>
    <t>１</t>
    <phoneticPr fontId="3"/>
  </si>
  <si>
    <t>口座振替サービス（端末登録）</t>
    <rPh sb="0" eb="2">
      <t>コウザ</t>
    </rPh>
    <rPh sb="2" eb="4">
      <t>フリカエ</t>
    </rPh>
    <rPh sb="9" eb="11">
      <t>タンマツ</t>
    </rPh>
    <rPh sb="11" eb="13">
      <t>トウロク</t>
    </rPh>
    <phoneticPr fontId="3"/>
  </si>
  <si>
    <t>0：利用しない　1：利用する</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</si>
  <si>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</si>
  <si>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</si>
  <si>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</si>
  <si>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</si>
  <si>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</si>
  <si>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</si>
  <si>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</si>
  <si>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</si>
  <si>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</si>
  <si>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</si>
  <si>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</si>
  <si>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</si>
  <si>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</si>
  <si>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</si>
  <si>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</si>
  <si>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</si>
  <si>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</si>
  <si>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</si>
  <si>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</si>
  <si>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</si>
  <si>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</si>
  <si>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</si>
  <si>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</si>
  <si>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</si>
  <si>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</si>
  <si>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</si>
  <si>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</si>
  <si>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</si>
  <si>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</si>
  <si>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</si>
  <si>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</si>
  <si>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</si>
  <si>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</si>
  <si>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</si>
  <si>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</si>
  <si>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</si>
  <si>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</si>
  <si>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</si>
  <si>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</si>
  <si>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</si>
  <si>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01：店頭販売</t>
  </si>
  <si>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</si>
  <si>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TID採番区分</t>
    <rPh sb="3" eb="5">
      <t>サイバン</t>
    </rPh>
    <rPh sb="5" eb="7">
      <t>クブン</t>
    </rPh>
    <phoneticPr fontId="3"/>
  </si>
  <si>
    <t>TID採番区分：</t>
    <rPh sb="3" eb="5">
      <t>サイバン</t>
    </rPh>
    <rPh sb="5" eb="7">
      <t>クブン</t>
    </rPh>
    <phoneticPr fontId="3"/>
  </si>
  <si>
    <t>2YR</t>
    <phoneticPr fontId="3"/>
  </si>
  <si>
    <t>初期</t>
    <rPh sb="0" eb="2">
      <t>ショキ</t>
    </rPh>
    <phoneticPr fontId="3"/>
  </si>
  <si>
    <t>月額</t>
    <rPh sb="0" eb="2">
      <t>ゲツガク</t>
    </rPh>
    <phoneticPr fontId="3"/>
  </si>
  <si>
    <t>入金
回数</t>
    <rPh sb="0" eb="2">
      <t>ニュウキン</t>
    </rPh>
    <rPh sb="3" eb="5">
      <t>カイスウ</t>
    </rPh>
    <phoneticPr fontId="4"/>
  </si>
  <si>
    <t>◆お申込オプション◆</t>
    <rPh sb="2" eb="4">
      <t>モウシコミ</t>
    </rPh>
    <phoneticPr fontId="4"/>
  </si>
  <si>
    <t>共通費用</t>
    <rPh sb="0" eb="2">
      <t>キョウツウ</t>
    </rPh>
    <rPh sb="2" eb="4">
      <t>ヒヨウ</t>
    </rPh>
    <phoneticPr fontId="3"/>
  </si>
  <si>
    <t>ZA6</t>
    <phoneticPr fontId="3"/>
  </si>
  <si>
    <t>費目コード</t>
    <rPh sb="0" eb="2">
      <t>ヒモク</t>
    </rPh>
    <phoneticPr fontId="3"/>
  </si>
  <si>
    <t>　</t>
    <phoneticPr fontId="3"/>
  </si>
  <si>
    <t>1621421</t>
  </si>
  <si>
    <t>1621420</t>
  </si>
  <si>
    <t>1621422</t>
  </si>
  <si>
    <t>1621424</t>
  </si>
  <si>
    <t>1621423</t>
  </si>
  <si>
    <t>0107746</t>
  </si>
  <si>
    <t>2回入金</t>
  </si>
  <si>
    <t>特商法
消費者契約法</t>
    <phoneticPr fontId="3"/>
  </si>
  <si>
    <t>非表示</t>
    <rPh sb="0" eb="3">
      <t>ヒヒョウジ</t>
    </rPh>
    <phoneticPr fontId="3"/>
  </si>
  <si>
    <t>　当方は直近５年間に特定商取引法による行政処分、または消費者契約法違反を理由とする敗訴判決を受けていません。</t>
    <phoneticPr fontId="3"/>
  </si>
  <si>
    <t>法人番号</t>
    <rPh sb="0" eb="2">
      <t>ホウジン</t>
    </rPh>
    <rPh sb="2" eb="4">
      <t>バンゴウ</t>
    </rPh>
    <phoneticPr fontId="4"/>
  </si>
  <si>
    <t>※法人番号は申込区分が「法人」の場合に必須となります。13桁で入力をお願いいたします。</t>
    <phoneticPr fontId="3"/>
  </si>
  <si>
    <t>訪問販売有無</t>
    <phoneticPr fontId="3"/>
  </si>
  <si>
    <t>電話勧誘販売有無</t>
    <phoneticPr fontId="3"/>
  </si>
  <si>
    <t>連鎖販売取引有無</t>
    <phoneticPr fontId="3"/>
  </si>
  <si>
    <t>業務提供誘引販売
有無</t>
    <phoneticPr fontId="3"/>
  </si>
  <si>
    <t>特定継続的役務
提供有無</t>
    <phoneticPr fontId="3"/>
  </si>
  <si>
    <t>訪問</t>
    <rPh sb="0" eb="2">
      <t>ホウモン</t>
    </rPh>
    <phoneticPr fontId="3"/>
  </si>
  <si>
    <t>電話</t>
    <rPh sb="0" eb="2">
      <t>デンワ</t>
    </rPh>
    <phoneticPr fontId="3"/>
  </si>
  <si>
    <t>連鎖</t>
    <rPh sb="0" eb="2">
      <t>レンサ</t>
    </rPh>
    <phoneticPr fontId="3"/>
  </si>
  <si>
    <t>業務</t>
    <rPh sb="0" eb="2">
      <t>ギョウム</t>
    </rPh>
    <phoneticPr fontId="3"/>
  </si>
  <si>
    <t>特定</t>
    <rPh sb="0" eb="2">
      <t>トクテイ</t>
    </rPh>
    <phoneticPr fontId="3"/>
  </si>
  <si>
    <t>取扱商品</t>
    <rPh sb="0" eb="2">
      <t>トリアツカイ</t>
    </rPh>
    <rPh sb="2" eb="4">
      <t>ショウヒン</t>
    </rPh>
    <phoneticPr fontId="3"/>
  </si>
  <si>
    <t>日</t>
    <rPh sb="0" eb="1">
      <t>ニチ</t>
    </rPh>
    <phoneticPr fontId="3"/>
  </si>
  <si>
    <t>月</t>
    <rPh sb="0" eb="1">
      <t>ツキ</t>
    </rPh>
    <phoneticPr fontId="3"/>
  </si>
  <si>
    <t>年</t>
    <rPh sb="0" eb="1">
      <t>ネン</t>
    </rPh>
    <phoneticPr fontId="3"/>
  </si>
  <si>
    <t>西暦</t>
    <rPh sb="0" eb="2">
      <t>セイレキ</t>
    </rPh>
    <phoneticPr fontId="3"/>
  </si>
  <si>
    <t>店舗オープン日</t>
    <rPh sb="0" eb="2">
      <t>テンポ</t>
    </rPh>
    <rPh sb="6" eb="7">
      <t>ビ</t>
    </rPh>
    <phoneticPr fontId="4"/>
  </si>
  <si>
    <t>無</t>
    <rPh sb="0" eb="1">
      <t>ナシ</t>
    </rPh>
    <phoneticPr fontId="3"/>
  </si>
  <si>
    <t>有</t>
    <rPh sb="0" eb="1">
      <t>アリ</t>
    </rPh>
    <phoneticPr fontId="3"/>
  </si>
  <si>
    <t>有</t>
    <rPh sb="0" eb="1">
      <t>ア</t>
    </rPh>
    <phoneticPr fontId="3"/>
  </si>
  <si>
    <t>はい</t>
    <phoneticPr fontId="3"/>
  </si>
  <si>
    <t>カード情報保持状況</t>
    <phoneticPr fontId="3"/>
  </si>
  <si>
    <t>非保持化予定年月</t>
    <phoneticPr fontId="3"/>
  </si>
  <si>
    <t>●カード情報保持状況</t>
  </si>
  <si>
    <t>●PCIDSS準拠状況</t>
  </si>
  <si>
    <t>00：選択して下さい</t>
    <phoneticPr fontId="3"/>
  </si>
  <si>
    <t>01：保持している［保持］</t>
    <phoneticPr fontId="3"/>
  </si>
  <si>
    <t>02：保持していない［非保持］</t>
    <phoneticPr fontId="3"/>
  </si>
  <si>
    <t>03：【非保持化】予定あり</t>
    <phoneticPr fontId="3"/>
  </si>
  <si>
    <t>00：選択して下さい</t>
    <phoneticPr fontId="3"/>
  </si>
  <si>
    <t>01：準拠している</t>
    <phoneticPr fontId="3"/>
  </si>
  <si>
    <t>02：準拠予定あり</t>
    <phoneticPr fontId="3"/>
  </si>
  <si>
    <t>03：準拠予定なし</t>
    <phoneticPr fontId="3"/>
  </si>
  <si>
    <t>02：保持していない［非保持］</t>
  </si>
  <si>
    <t>038</t>
  </si>
  <si>
    <t>041</t>
  </si>
  <si>
    <t>1</t>
  </si>
  <si>
    <t>セキュリティ関連パラメータ情報</t>
    <rPh sb="6" eb="8">
      <t>カンレン</t>
    </rPh>
    <rPh sb="13" eb="15">
      <t>ジョウホウ</t>
    </rPh>
    <phoneticPr fontId="3"/>
  </si>
  <si>
    <t>カード情報保持状況</t>
  </si>
  <si>
    <t>017</t>
  </si>
  <si>
    <t>非保持化予定年月</t>
  </si>
  <si>
    <t>PCIDSS準拠状況</t>
  </si>
  <si>
    <t>019</t>
  </si>
  <si>
    <t>PCIDSS準拠予定年月</t>
  </si>
  <si>
    <t>カード情報保護　予備①</t>
    <rPh sb="3" eb="5">
      <t>ジョウホウ</t>
    </rPh>
    <rPh sb="5" eb="7">
      <t>ホゴ</t>
    </rPh>
    <phoneticPr fontId="2"/>
  </si>
  <si>
    <t>カード情報保護　予備②</t>
    <rPh sb="3" eb="5">
      <t>ジョウホウ</t>
    </rPh>
    <rPh sb="5" eb="7">
      <t>ホゴ</t>
    </rPh>
    <phoneticPr fontId="2"/>
  </si>
  <si>
    <t>カード情報保護　予備③</t>
    <rPh sb="3" eb="5">
      <t>ジョウホウ</t>
    </rPh>
    <rPh sb="5" eb="7">
      <t>ホゴ</t>
    </rPh>
    <phoneticPr fontId="2"/>
  </si>
  <si>
    <t>カード情報保護　予備④</t>
    <rPh sb="3" eb="5">
      <t>ジョウホウ</t>
    </rPh>
    <rPh sb="5" eb="7">
      <t>ホゴ</t>
    </rPh>
    <phoneticPr fontId="2"/>
  </si>
  <si>
    <t>訪問販売有無</t>
  </si>
  <si>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</si>
  <si>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</si>
  <si>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</si>
  <si>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</si>
  <si>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</si>
  <si>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</si>
  <si>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</si>
  <si>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</si>
  <si>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</si>
  <si>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</si>
  <si>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</si>
  <si>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</si>
  <si>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販売形態　予備①</t>
    <rPh sb="0" eb="2">
      <t>ハンバイ</t>
    </rPh>
    <rPh sb="2" eb="4">
      <t>ケイタイ</t>
    </rPh>
    <phoneticPr fontId="2"/>
  </si>
  <si>
    <t>販売形態　予備②</t>
    <rPh sb="0" eb="2">
      <t>ハンバイ</t>
    </rPh>
    <rPh sb="2" eb="4">
      <t>ケイタイ</t>
    </rPh>
    <phoneticPr fontId="2"/>
  </si>
  <si>
    <t>不正リスク判定</t>
  </si>
  <si>
    <t>オーソリ　実施状況</t>
  </si>
  <si>
    <t>035</t>
  </si>
  <si>
    <t>オーソリ　コメント</t>
  </si>
  <si>
    <t>本人認証サービス　実施状況</t>
  </si>
  <si>
    <t>本人認証サービス　実施予定年月</t>
  </si>
  <si>
    <t>セキュリティコード　　実施状況</t>
  </si>
  <si>
    <t>セキュリティコード　　実施予定年月</t>
  </si>
  <si>
    <t>不正配送先情報　活用状況</t>
  </si>
  <si>
    <t>不正配送先情報　活用実施予定年月</t>
  </si>
  <si>
    <t>属性・行動分析 　実施状況</t>
  </si>
  <si>
    <t>属性・行動分析 　実施予定年月</t>
  </si>
  <si>
    <t>その他独自対策</t>
  </si>
  <si>
    <t>その他独自対策 　実施予定年月</t>
  </si>
  <si>
    <t>その他独自対策　 コメント</t>
  </si>
  <si>
    <t>決済端末IC化　 実施状況</t>
  </si>
  <si>
    <t>048</t>
  </si>
  <si>
    <t>決済端末IC化　 実施予定年月</t>
  </si>
  <si>
    <t>決済端末IC化　 コメント</t>
  </si>
  <si>
    <t>不正対策　予備①</t>
    <rPh sb="0" eb="2">
      <t>フセイ</t>
    </rPh>
    <rPh sb="2" eb="4">
      <t>タイサク</t>
    </rPh>
    <phoneticPr fontId="2"/>
  </si>
  <si>
    <t>不正対策　予備②</t>
    <rPh sb="0" eb="2">
      <t>フセイ</t>
    </rPh>
    <rPh sb="2" eb="4">
      <t>タイサク</t>
    </rPh>
    <phoneticPr fontId="2"/>
  </si>
  <si>
    <t>不正対策　予備③</t>
    <rPh sb="0" eb="2">
      <t>フセイ</t>
    </rPh>
    <rPh sb="2" eb="4">
      <t>タイサク</t>
    </rPh>
    <phoneticPr fontId="2"/>
  </si>
  <si>
    <t>不正対策　予備④</t>
    <rPh sb="0" eb="2">
      <t>フセイ</t>
    </rPh>
    <rPh sb="2" eb="4">
      <t>タイサク</t>
    </rPh>
    <phoneticPr fontId="2"/>
  </si>
  <si>
    <t>セキュリティ対策①　情報管理</t>
  </si>
  <si>
    <t>セキュリティ対策①　登録年月日</t>
  </si>
  <si>
    <t>セキュリティ対策②　不正利用防止</t>
  </si>
  <si>
    <t>105</t>
  </si>
  <si>
    <t>セキュリティ対策②　登録年月日</t>
  </si>
  <si>
    <t>106</t>
  </si>
  <si>
    <t>セキュリティ対策　　コメント</t>
  </si>
  <si>
    <t>サービス店舗電話番号</t>
  </si>
  <si>
    <t>特商法・消費者契約法</t>
  </si>
  <si>
    <t>個人・法人区分</t>
  </si>
  <si>
    <t>法人番号</t>
  </si>
  <si>
    <t>数値</t>
    <rPh sb="0" eb="2">
      <t>スウチ</t>
    </rPh>
    <phoneticPr fontId="72"/>
  </si>
  <si>
    <t>代表者電話番号</t>
  </si>
  <si>
    <t>⇒</t>
    <phoneticPr fontId="3"/>
  </si>
  <si>
    <t>いいえ</t>
    <phoneticPr fontId="3"/>
  </si>
  <si>
    <t>前払い商材有無</t>
    <phoneticPr fontId="3"/>
  </si>
  <si>
    <t>前払</t>
    <rPh sb="0" eb="1">
      <t>マエ</t>
    </rPh>
    <rPh sb="1" eb="2">
      <t>ハラ</t>
    </rPh>
    <phoneticPr fontId="3"/>
  </si>
  <si>
    <t>PCI DSS準拠状況</t>
    <phoneticPr fontId="3"/>
  </si>
  <si>
    <t>PCI DSS準拠予定年月</t>
    <phoneticPr fontId="3"/>
  </si>
  <si>
    <t>　　　　上記内容を承諾し、代表者が申し込みいたします。</t>
    <phoneticPr fontId="3"/>
  </si>
  <si>
    <t>―</t>
    <phoneticPr fontId="3"/>
  </si>
  <si>
    <t>●都道府県</t>
    <rPh sb="1" eb="5">
      <t>トドウフケン</t>
    </rPh>
    <phoneticPr fontId="3"/>
  </si>
  <si>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</si>
  <si>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</si>
  <si>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</si>
  <si>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</si>
  <si>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</si>
  <si>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</si>
  <si>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</si>
  <si>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</si>
  <si>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</si>
  <si>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</si>
  <si>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</si>
  <si>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</si>
  <si>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</si>
  <si>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</si>
  <si>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</si>
  <si>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</si>
  <si>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</si>
  <si>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</si>
  <si>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</si>
  <si>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</si>
  <si>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</si>
  <si>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</si>
  <si>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</si>
  <si>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</si>
  <si>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</si>
  <si>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</si>
  <si>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</si>
  <si>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</si>
  <si>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</si>
  <si>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</si>
  <si>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</si>
  <si>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</si>
  <si>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</si>
  <si>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</si>
  <si>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</si>
  <si>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</si>
  <si>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</si>
  <si>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</si>
  <si>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</si>
  <si>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</si>
  <si>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</si>
  <si>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</si>
  <si>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</si>
  <si>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</si>
  <si>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</si>
  <si>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</si>
  <si>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</si>
  <si>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t>
    <phoneticPr fontId="3"/>
  </si>
  <si>
    <t>―</t>
    <phoneticPr fontId="3"/>
  </si>
  <si>
    <t>←右詰めで7桁すべてご記入下さい。
（7桁未満の場合は０をご入力下さい。）</t>
    <phoneticPr fontId="4"/>
  </si>
  <si>
    <t>非</t>
    <rPh sb="0" eb="1">
      <t>ヒ</t>
    </rPh>
    <phoneticPr fontId="3"/>
  </si>
  <si>
    <t>代表者（郵便番号）</t>
  </si>
  <si>
    <t>company3_reserve</t>
    <phoneticPr fontId="3"/>
  </si>
  <si>
    <t>代表者住所（カナ）</t>
  </si>
  <si>
    <t>company4_reserve</t>
    <phoneticPr fontId="3"/>
  </si>
  <si>
    <t>company5_reserve</t>
    <phoneticPr fontId="3"/>
  </si>
  <si>
    <t>service2_reserve</t>
    <phoneticPr fontId="3"/>
  </si>
  <si>
    <t>法人：01、個人：02</t>
    <phoneticPr fontId="3"/>
  </si>
  <si>
    <t>company1_reserve</t>
    <phoneticPr fontId="3"/>
  </si>
  <si>
    <t>company2_reserve</t>
    <phoneticPr fontId="3"/>
  </si>
  <si>
    <t>半角文字列</t>
    <rPh sb="0" eb="2">
      <t>ハンカク</t>
    </rPh>
    <rPh sb="2" eb="5">
      <t>モジレツ</t>
    </rPh>
    <phoneticPr fontId="3"/>
  </si>
  <si>
    <t>service1_reserve</t>
    <phoneticPr fontId="3"/>
  </si>
  <si>
    <t>パラメータID</t>
  </si>
  <si>
    <t>大項目</t>
    <rPh sb="0" eb="3">
      <t>ダイコウモク</t>
    </rPh>
    <phoneticPr fontId="2"/>
  </si>
  <si>
    <t>桁数</t>
    <rPh sb="0" eb="2">
      <t>ケタスウ</t>
    </rPh>
    <phoneticPr fontId="3"/>
  </si>
  <si>
    <t>コード</t>
    <phoneticPr fontId="3"/>
  </si>
  <si>
    <t>カード情報保護</t>
  </si>
  <si>
    <t>半角　1.保持している［保持］　2.保持していない［非保持/非保持化相当］　3.【非保持化】予定あり</t>
  </si>
  <si>
    <t>6</t>
  </si>
  <si>
    <t>半角、ｙｙｙｙｍｍ、【非保持化】予定ありを選択時のみ入力。その他の時はブランク。</t>
  </si>
  <si>
    <t>018</t>
  </si>
  <si>
    <t>半角　1.準拠している　2.準拠予定あり　3.準拠予定なし</t>
  </si>
  <si>
    <t>半角、ｙｙｙｙｍｍ、準拠予定ありを選択時のみ入力。その他の時はブランク。</t>
  </si>
  <si>
    <t>020</t>
  </si>
  <si>
    <t>60</t>
  </si>
  <si>
    <t>021</t>
  </si>
  <si>
    <t>022</t>
  </si>
  <si>
    <t>023</t>
  </si>
  <si>
    <t>024</t>
  </si>
  <si>
    <t>苦情危険度</t>
  </si>
  <si>
    <t>半角　0：無　、1：有</t>
    <phoneticPr fontId="3"/>
  </si>
  <si>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</si>
  <si>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</si>
  <si>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032</t>
  </si>
  <si>
    <t>033</t>
  </si>
  <si>
    <t>不正対策</t>
  </si>
  <si>
    <t>半角　1.低リスク　2.高リスク（家電）　3．高リスク（チケット）　4．高リスク（電子マネー）　5．高リスク（デジコン）</t>
  </si>
  <si>
    <t>034</t>
  </si>
  <si>
    <t>半角　1.実施　2.オーソリ相当実施　3.未実施</t>
  </si>
  <si>
    <t>200</t>
  </si>
  <si>
    <t>全角・半角、具体的な対策内容を入力</t>
  </si>
  <si>
    <t>036</t>
  </si>
  <si>
    <t>半角　1.導入済　2.導入予定　3.導入予定なし</t>
  </si>
  <si>
    <t>037</t>
  </si>
  <si>
    <t>半角、ｙｙｙｙｍｍ、導入予定を選択時のみ入力。その他の時はブランク。</t>
  </si>
  <si>
    <t>039</t>
  </si>
  <si>
    <t>040</t>
  </si>
  <si>
    <t>042</t>
  </si>
  <si>
    <t>043</t>
  </si>
  <si>
    <t>044</t>
  </si>
  <si>
    <t>045</t>
  </si>
  <si>
    <t>046</t>
  </si>
  <si>
    <t>全角・半角、具体的な対策内容を入力
「1.導入済」「2.導入予定」を選択時のみ入力。その他の時はブランク。</t>
  </si>
  <si>
    <t>047</t>
  </si>
  <si>
    <t>049</t>
  </si>
  <si>
    <t>050</t>
  </si>
  <si>
    <t>051</t>
  </si>
  <si>
    <t>052</t>
  </si>
  <si>
    <t>053</t>
  </si>
  <si>
    <t>054</t>
  </si>
  <si>
    <t>セキュリティ状況</t>
  </si>
  <si>
    <t>半角　1.準拠　2.未準拠</t>
  </si>
  <si>
    <t>103</t>
  </si>
  <si>
    <t>8</t>
  </si>
  <si>
    <t>半角、YYYYMMDD</t>
  </si>
  <si>
    <t>104</t>
  </si>
  <si>
    <t>全角・半角、具体的な対策内容等を入力</t>
  </si>
  <si>
    <t>107</t>
  </si>
  <si>
    <t>0030302</t>
  </si>
  <si>
    <t>0430106</t>
  </si>
  <si>
    <t>0430268</t>
  </si>
  <si>
    <t>0435209</t>
  </si>
  <si>
    <t>0441261</t>
  </si>
  <si>
    <t>0441467</t>
  </si>
  <si>
    <t>0446579</t>
  </si>
  <si>
    <t>0510538</t>
  </si>
  <si>
    <t>0518669</t>
  </si>
  <si>
    <t>0524934</t>
  </si>
  <si>
    <t>0525735</t>
  </si>
  <si>
    <t>1202892</t>
  </si>
  <si>
    <t>1203405</t>
  </si>
  <si>
    <t>1203748</t>
  </si>
  <si>
    <t>1204164</t>
  </si>
  <si>
    <t>1205880</t>
  </si>
  <si>
    <t>1206228</t>
  </si>
  <si>
    <t>1206333</t>
  </si>
  <si>
    <t>1206897</t>
  </si>
  <si>
    <t>1207428</t>
  </si>
  <si>
    <t>1208622</t>
  </si>
  <si>
    <t>1209993</t>
  </si>
  <si>
    <t>1210249</t>
  </si>
  <si>
    <t>1602484</t>
  </si>
  <si>
    <t>1604187</t>
  </si>
  <si>
    <t>1605143</t>
  </si>
  <si>
    <t>1607288</t>
  </si>
  <si>
    <t>1607805</t>
  </si>
  <si>
    <t>1608568</t>
  </si>
  <si>
    <t>9999999</t>
  </si>
  <si>
    <t>1610862</t>
  </si>
  <si>
    <t>1610861</t>
  </si>
  <si>
    <t>1611513</t>
  </si>
  <si>
    <t>1611514</t>
  </si>
  <si>
    <t>1611515</t>
  </si>
  <si>
    <t>1611516</t>
  </si>
  <si>
    <t>1611517</t>
  </si>
  <si>
    <t>1611518</t>
  </si>
  <si>
    <t>1611519</t>
  </si>
  <si>
    <t>1611520</t>
  </si>
  <si>
    <t>1611521</t>
  </si>
  <si>
    <t>1612020</t>
  </si>
  <si>
    <t>1612406</t>
  </si>
  <si>
    <t>1613162</t>
  </si>
  <si>
    <t>0518614</t>
  </si>
  <si>
    <t>0518623</t>
  </si>
  <si>
    <t>0522770</t>
  </si>
  <si>
    <t>0524381</t>
  </si>
  <si>
    <t>1202895</t>
  </si>
  <si>
    <t>1203376</t>
  </si>
  <si>
    <t>1203713</t>
  </si>
  <si>
    <t>1203747</t>
  </si>
  <si>
    <t>1203976</t>
  </si>
  <si>
    <t>1205979</t>
  </si>
  <si>
    <t>1205998</t>
  </si>
  <si>
    <t>1206989</t>
  </si>
  <si>
    <t>1207224</t>
  </si>
  <si>
    <t>1207256</t>
  </si>
  <si>
    <t>1208450</t>
  </si>
  <si>
    <t>1208623</t>
  </si>
  <si>
    <t>1209994</t>
  </si>
  <si>
    <t>1210473</t>
  </si>
  <si>
    <t>1600945</t>
  </si>
  <si>
    <t>1601605</t>
  </si>
  <si>
    <t>1601607</t>
  </si>
  <si>
    <t>1605144</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</si>
  <si>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</si>
  <si>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</si>
  <si>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</si>
  <si>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</si>
  <si>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</si>
  <si>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</si>
  <si>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</si>
  <si>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</si>
  <si>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</si>
  <si>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</si>
  <si>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</si>
  <si>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</si>
  <si>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</si>
  <si>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</si>
  <si>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</si>
  <si>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</si>
  <si>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</si>
  <si>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</si>
  <si>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</si>
  <si>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</si>
  <si>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</si>
  <si>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</si>
  <si>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</si>
  <si>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</si>
  <si>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</si>
  <si>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</si>
  <si>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</si>
  <si>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</si>
  <si>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</si>
  <si>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</si>
  <si>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</si>
  <si>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</si>
  <si>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◆電子マネー決済◆</t>
    <rPh sb="6" eb="8">
      <t>ケッサイ</t>
    </rPh>
    <phoneticPr fontId="3"/>
  </si>
  <si>
    <t>楽天Edy</t>
    <phoneticPr fontId="3"/>
  </si>
  <si>
    <t>非</t>
    <rPh sb="0" eb="1">
      <t>ヒ</t>
    </rPh>
    <phoneticPr fontId="3"/>
  </si>
  <si>
    <t>楽天Edy</t>
    <rPh sb="0" eb="2">
      <t>ラクテン</t>
    </rPh>
    <phoneticPr fontId="3"/>
  </si>
  <si>
    <r>
      <t xml:space="preserve">毎月15日、末日締め、締め後７営業日迄に収納明細書を売上報告ご担当様宛にメールいたします。立替払金につきましては、当月末日（土日祝日の場合は前営業日）、翌月15日（土日祝日の場合は翌営業日）に手数料を差引いた金額をご指定の金融機関口座にお振込みさせていただきます。
</t>
    </r>
    <r>
      <rPr>
        <sz val="11"/>
        <color theme="0"/>
        <rFont val="Meiryo UI"/>
        <family val="3"/>
        <charset val="128"/>
      </rPr>
      <t>※早期・複数回入金オプションをご利用の場合は異なります。</t>
    </r>
    <rPh sb="22" eb="24">
      <t>メイサイ</t>
    </rPh>
    <rPh sb="24" eb="25">
      <t>ショ</t>
    </rPh>
    <rPh sb="26" eb="28">
      <t>ウリアゲ</t>
    </rPh>
    <rPh sb="28" eb="30">
      <t>ホウコク</t>
    </rPh>
    <rPh sb="45" eb="47">
      <t>タテカエ</t>
    </rPh>
    <rPh sb="47" eb="48">
      <t>ハラ</t>
    </rPh>
    <rPh sb="100" eb="102">
      <t>サシヒ</t>
    </rPh>
    <rPh sb="104" eb="106">
      <t>キンガク</t>
    </rPh>
    <rPh sb="111" eb="113">
      <t>キンユウ</t>
    </rPh>
    <rPh sb="113" eb="115">
      <t>キカン</t>
    </rPh>
    <rPh sb="115" eb="117">
      <t>コウザ</t>
    </rPh>
    <rPh sb="119" eb="121">
      <t>フリコ</t>
    </rPh>
    <phoneticPr fontId="3"/>
  </si>
  <si>
    <t>ロール紙（10巻/箱）</t>
    <phoneticPr fontId="3"/>
  </si>
  <si>
    <t xml:space="preserve">VEGA3000専用　シガーアダプター（DC） </t>
    <rPh sb="8" eb="10">
      <t>センヨウ</t>
    </rPh>
    <phoneticPr fontId="3"/>
  </si>
  <si>
    <t>VEGA3000専用　POS連動ケーブル（1m）</t>
    <rPh sb="8" eb="10">
      <t>センヨウ</t>
    </rPh>
    <phoneticPr fontId="3"/>
  </si>
  <si>
    <t>個</t>
    <rPh sb="0" eb="1">
      <t>コ</t>
    </rPh>
    <phoneticPr fontId="3"/>
  </si>
  <si>
    <t>本</t>
    <rPh sb="0" eb="1">
      <t>ホン</t>
    </rPh>
    <phoneticPr fontId="3"/>
  </si>
  <si>
    <t>ホッカイドウ</t>
  </si>
  <si>
    <t>アオモリケン</t>
  </si>
  <si>
    <t>イワテケン</t>
  </si>
  <si>
    <t>ミヤギケン</t>
  </si>
  <si>
    <t>アキタケン</t>
  </si>
  <si>
    <t>ヤマガタケン</t>
  </si>
  <si>
    <t>フクシマケン</t>
  </si>
  <si>
    <t>イバラキケン</t>
  </si>
  <si>
    <t>トチギケン</t>
  </si>
  <si>
    <t>グンマケン</t>
  </si>
  <si>
    <t>サイタマケン</t>
  </si>
  <si>
    <t>チバケン</t>
  </si>
  <si>
    <t>トウキョウト</t>
  </si>
  <si>
    <t>カナガワケン</t>
  </si>
  <si>
    <t>ニイガタケン</t>
  </si>
  <si>
    <t>トヤマケン</t>
  </si>
  <si>
    <t>イシカワケン</t>
  </si>
  <si>
    <t>フクイケン</t>
  </si>
  <si>
    <t>ヤマナシケン</t>
  </si>
  <si>
    <t>ナガノケン</t>
  </si>
  <si>
    <t>ギフケン</t>
  </si>
  <si>
    <t>シズオカケン</t>
  </si>
  <si>
    <t>アイチケン</t>
  </si>
  <si>
    <t>ミエケン</t>
  </si>
  <si>
    <t>シガケン</t>
  </si>
  <si>
    <t>キョウトフ</t>
  </si>
  <si>
    <t>オオサカフ</t>
  </si>
  <si>
    <t>ヒョウゴケン</t>
  </si>
  <si>
    <t>ナラケン</t>
  </si>
  <si>
    <t>ワカヤマケン</t>
  </si>
  <si>
    <t>トットリケン</t>
  </si>
  <si>
    <t>シマネケン</t>
  </si>
  <si>
    <t>オカヤマケン</t>
  </si>
  <si>
    <t>ヒロシマケン</t>
  </si>
  <si>
    <t>ヤマグチケン</t>
  </si>
  <si>
    <t>トクシマケン</t>
  </si>
  <si>
    <t>カガワケン</t>
  </si>
  <si>
    <t>エヒメケン</t>
  </si>
  <si>
    <t>コウチケン</t>
  </si>
  <si>
    <t>フクオカケン</t>
  </si>
  <si>
    <t>サガケン</t>
  </si>
  <si>
    <t>ナガサキケン</t>
  </si>
  <si>
    <t>クマモトケン</t>
  </si>
  <si>
    <t>オオイタケン</t>
  </si>
  <si>
    <t>ミヤザキケン</t>
  </si>
  <si>
    <t>カゴシマケン</t>
  </si>
  <si>
    <t>オキナワケン</t>
  </si>
  <si>
    <t>（自動表示）</t>
    <rPh sb="1" eb="3">
      <t>ジドウ</t>
    </rPh>
    <rPh sb="3" eb="5">
      <t>ヒョウジ</t>
    </rPh>
    <phoneticPr fontId="3"/>
  </si>
  <si>
    <t>HP掲載</t>
    <rPh sb="2" eb="4">
      <t>ケイサイ</t>
    </rPh>
    <phoneticPr fontId="4"/>
  </si>
  <si>
    <t>業種ID</t>
  </si>
  <si>
    <t>含まれる店舗種別</t>
  </si>
  <si>
    <t>例</t>
  </si>
  <si>
    <t>○</t>
  </si>
  <si>
    <t>00000005</t>
    <phoneticPr fontId="4"/>
  </si>
  <si>
    <t/>
  </si>
  <si>
    <t>飲食業　日本料理　 一般食堂・和風居酒屋ダイニング</t>
    <rPh sb="10" eb="12">
      <t>イッパン</t>
    </rPh>
    <rPh sb="12" eb="14">
      <t>ショクドウ</t>
    </rPh>
    <rPh sb="15" eb="17">
      <t>ワフウ</t>
    </rPh>
    <rPh sb="17" eb="20">
      <t>イザカヤ</t>
    </rPh>
    <phoneticPr fontId="4"/>
  </si>
  <si>
    <t>和食全般</t>
    <rPh sb="0" eb="2">
      <t>ワショク</t>
    </rPh>
    <rPh sb="2" eb="4">
      <t>ゼンパン</t>
    </rPh>
    <phoneticPr fontId="4"/>
  </si>
  <si>
    <t>00000007</t>
    <phoneticPr fontId="4"/>
  </si>
  <si>
    <t>飲食業　洋食　洋風居酒屋　ビアホール　洋風ダイニング</t>
    <rPh sb="7" eb="9">
      <t>ヨウフウ</t>
    </rPh>
    <rPh sb="9" eb="12">
      <t>イザカヤ</t>
    </rPh>
    <rPh sb="19" eb="21">
      <t>ヨウフウ</t>
    </rPh>
    <phoneticPr fontId="4"/>
  </si>
  <si>
    <t>イタリアン・フレンチ・ロシア・メキシコ・アメリカン・バーベキュー</t>
    <phoneticPr fontId="4"/>
  </si>
  <si>
    <t xml:space="preserve"> </t>
  </si>
  <si>
    <t>00000009</t>
    <phoneticPr fontId="4"/>
  </si>
  <si>
    <t>飲食業　中華料理　エスニック・アジア風居酒屋・ダイニングバー・焼肉</t>
    <rPh sb="18" eb="19">
      <t>フウ</t>
    </rPh>
    <rPh sb="19" eb="22">
      <t>イザカヤ</t>
    </rPh>
    <rPh sb="31" eb="33">
      <t>ヤキニク</t>
    </rPh>
    <phoneticPr fontId="4"/>
  </si>
  <si>
    <t>中華料理・台湾料理・餃子店　</t>
    <phoneticPr fontId="4"/>
  </si>
  <si>
    <t>一般中華料理・バーミヤン・餃子の王将など</t>
  </si>
  <si>
    <t>00000012</t>
  </si>
  <si>
    <t>飲食業　ラーメン店</t>
  </si>
  <si>
    <t>ラーメン店</t>
  </si>
  <si>
    <t>00000013</t>
  </si>
  <si>
    <t>飲食業　そば・うどん</t>
  </si>
  <si>
    <t>そば・うどん</t>
  </si>
  <si>
    <t>00000014</t>
  </si>
  <si>
    <t>飲食業　喫茶・カフェ・軽食</t>
    <phoneticPr fontId="4"/>
  </si>
  <si>
    <t>コーヒーショップ・フルーツパーラー・スタンド式喫茶・甘味処</t>
    <phoneticPr fontId="4"/>
  </si>
  <si>
    <t>スターバックス、ドトール</t>
    <phoneticPr fontId="4"/>
  </si>
  <si>
    <t>00000015</t>
    <phoneticPr fontId="4"/>
  </si>
  <si>
    <t>必要</t>
  </si>
  <si>
    <t>飲食業 スナック　ｸﾗﾌﾞ　ｷｬﾊﾞﾚー</t>
    <phoneticPr fontId="4"/>
  </si>
  <si>
    <t>水商売</t>
    <rPh sb="0" eb="3">
      <t>ミズショウバイ</t>
    </rPh>
    <phoneticPr fontId="4"/>
  </si>
  <si>
    <t>00000016</t>
  </si>
  <si>
    <t>飲食業　バー　その他</t>
    <rPh sb="9" eb="10">
      <t>タ</t>
    </rPh>
    <phoneticPr fontId="4"/>
  </si>
  <si>
    <t>バー</t>
    <phoneticPr fontId="4"/>
  </si>
  <si>
    <t>空港・ホテル内のラウンジなど</t>
    <rPh sb="0" eb="2">
      <t>クウコウ</t>
    </rPh>
    <rPh sb="6" eb="7">
      <t>ナイ</t>
    </rPh>
    <phoneticPr fontId="4"/>
  </si>
  <si>
    <t>飲食業　ファミリーレストラン</t>
  </si>
  <si>
    <t>ファミリーレストラン（各種料理のファミレス）</t>
  </si>
  <si>
    <t>飲食業　ファーストフード（和食・丼モノ・カレー）</t>
    <phoneticPr fontId="4"/>
  </si>
  <si>
    <t>牛丼屋・天丼屋・カレー</t>
    <phoneticPr fontId="4"/>
  </si>
  <si>
    <t>吉野家・松屋・なか卯・天屋　CoCo壱番屋・バルチックカレー
駅中のカレーショップ</t>
    <rPh sb="18" eb="19">
      <t>イチ</t>
    </rPh>
    <rPh sb="19" eb="20">
      <t>バン</t>
    </rPh>
    <rPh sb="20" eb="21">
      <t>ヤ</t>
    </rPh>
    <rPh sb="31" eb="32">
      <t>エキ</t>
    </rPh>
    <rPh sb="32" eb="33">
      <t>ナカ</t>
    </rPh>
    <phoneticPr fontId="4"/>
  </si>
  <si>
    <t>00000020</t>
  </si>
  <si>
    <t>飲食業　ファーストフード</t>
  </si>
  <si>
    <t>ハンバーガー・今川焼き・たこ焼き・屋台</t>
    <phoneticPr fontId="4"/>
  </si>
  <si>
    <t>00000021</t>
  </si>
  <si>
    <t>小売業　百貨店・デパート・複合型ショッピングストア</t>
  </si>
  <si>
    <t>百貨店・デパート・総合ショッピングストア・アウトレット</t>
    <phoneticPr fontId="4"/>
  </si>
  <si>
    <t>ジャスコ・オリンピックなどはここに分類</t>
  </si>
  <si>
    <t>00000022</t>
  </si>
  <si>
    <t>小売業　スーパー</t>
    <phoneticPr fontId="4"/>
  </si>
  <si>
    <t>スーパー</t>
  </si>
  <si>
    <t>00000023</t>
  </si>
  <si>
    <t>小売業　コンビニ</t>
  </si>
  <si>
    <t>コンビニエンスストア</t>
  </si>
  <si>
    <t>am/pm、サンクス、ローソン</t>
  </si>
  <si>
    <t>00000025</t>
    <phoneticPr fontId="4"/>
  </si>
  <si>
    <t>小売業　酒屋</t>
    <rPh sb="4" eb="6">
      <t>サカヤ</t>
    </rPh>
    <phoneticPr fontId="4"/>
  </si>
  <si>
    <t>酒</t>
    <rPh sb="0" eb="1">
      <t>サケ</t>
    </rPh>
    <phoneticPr fontId="4"/>
  </si>
  <si>
    <t>やまや</t>
    <phoneticPr fontId="4"/>
  </si>
  <si>
    <t>00000026</t>
    <phoneticPr fontId="4"/>
  </si>
  <si>
    <t>食料品店　その他</t>
    <rPh sb="7" eb="8">
      <t>タ</t>
    </rPh>
    <phoneticPr fontId="4"/>
  </si>
  <si>
    <t>生鮮食品　米屋　豆腐屋　乾物屋　</t>
    <rPh sb="0" eb="2">
      <t>セイセン</t>
    </rPh>
    <rPh sb="2" eb="4">
      <t>ショクヒン</t>
    </rPh>
    <rPh sb="5" eb="6">
      <t>コメ</t>
    </rPh>
    <rPh sb="6" eb="7">
      <t>ヤ</t>
    </rPh>
    <rPh sb="8" eb="10">
      <t>トウフ</t>
    </rPh>
    <rPh sb="10" eb="11">
      <t>ヤ</t>
    </rPh>
    <rPh sb="12" eb="13">
      <t>カワ</t>
    </rPh>
    <rPh sb="13" eb="14">
      <t>モノ</t>
    </rPh>
    <rPh sb="14" eb="15">
      <t>ヤ</t>
    </rPh>
    <phoneticPr fontId="4"/>
  </si>
  <si>
    <t xml:space="preserve"> 伊藤くだもの店 ・ 佐藤食品 生鮮品店 新千歳空港店</t>
    <phoneticPr fontId="4"/>
  </si>
  <si>
    <t>00000031</t>
  </si>
  <si>
    <t>小売業　 パン屋・お菓子・デザート</t>
    <phoneticPr fontId="4"/>
  </si>
  <si>
    <t>ケーキ・まんじゅう・アイスクリーム・ パン屋・ベーカリーショップ</t>
    <phoneticPr fontId="4"/>
  </si>
  <si>
    <t>ハーゲンダッツ・お菓子屋の出張店舗　・オーバカナル</t>
    <phoneticPr fontId="4"/>
  </si>
  <si>
    <t>00000037</t>
  </si>
  <si>
    <t>小売業　お弁当・お惣菜　</t>
    <rPh sb="5" eb="7">
      <t>ベントウ</t>
    </rPh>
    <rPh sb="9" eb="11">
      <t>ソウザイ</t>
    </rPh>
    <phoneticPr fontId="4"/>
  </si>
  <si>
    <t>お弁当屋・調理パン・おにぎり・持ち帰り寿司・ピザ（宅配）</t>
    <phoneticPr fontId="4"/>
  </si>
  <si>
    <t>京樽・オリジン弁当　</t>
    <phoneticPr fontId="4"/>
  </si>
  <si>
    <t>00000043</t>
    <phoneticPr fontId="4"/>
  </si>
  <si>
    <t>小売業　服　ユニセックスファッション・ジーンズショップ</t>
    <rPh sb="4" eb="5">
      <t>フク</t>
    </rPh>
    <phoneticPr fontId="4"/>
  </si>
  <si>
    <t>紳士服・婦人服・子供服･古着・和服・下着など</t>
    <rPh sb="4" eb="6">
      <t>フジン</t>
    </rPh>
    <rPh sb="6" eb="7">
      <t>フク</t>
    </rPh>
    <rPh sb="8" eb="10">
      <t>コドモ</t>
    </rPh>
    <rPh sb="10" eb="11">
      <t>フク</t>
    </rPh>
    <rPh sb="12" eb="14">
      <t>フルギ</t>
    </rPh>
    <rPh sb="15" eb="17">
      <t>ワフク</t>
    </rPh>
    <rPh sb="18" eb="20">
      <t>シタギ</t>
    </rPh>
    <phoneticPr fontId="4"/>
  </si>
  <si>
    <t>コナカ・GAP・ユニクロ</t>
    <phoneticPr fontId="4"/>
  </si>
  <si>
    <t>00000050</t>
    <phoneticPr fontId="4"/>
  </si>
  <si>
    <t>小売業　ファッション雑貨</t>
    <phoneticPr fontId="4"/>
  </si>
  <si>
    <t>靴・かばん・貴金属・雑貨・化粧品を揃えたファッション雑貨店</t>
    <rPh sb="0" eb="1">
      <t>クツ</t>
    </rPh>
    <rPh sb="6" eb="9">
      <t>キキンゾク</t>
    </rPh>
    <rPh sb="28" eb="29">
      <t>テン</t>
    </rPh>
    <phoneticPr fontId="4"/>
  </si>
  <si>
    <t>ソニプラ・IT'S DEMO・ショップインなど</t>
  </si>
  <si>
    <t>00000051</t>
  </si>
  <si>
    <t>小売業　眼鏡・コンタクトレンズ</t>
    <phoneticPr fontId="4"/>
  </si>
  <si>
    <t>眼鏡・コンタクトレンズ</t>
    <phoneticPr fontId="4"/>
  </si>
  <si>
    <t>日本オプティカル</t>
    <rPh sb="0" eb="2">
      <t>ニホン</t>
    </rPh>
    <phoneticPr fontId="4"/>
  </si>
  <si>
    <t>00000053</t>
  </si>
  <si>
    <t>小売業　書籍　古本</t>
    <phoneticPr fontId="4"/>
  </si>
  <si>
    <t>本屋・古本屋・楽譜・洋書</t>
    <phoneticPr fontId="4"/>
  </si>
  <si>
    <t>BOOK OFF</t>
  </si>
  <si>
    <t>00000055</t>
  </si>
  <si>
    <t>小売業　ＣＤショップ　</t>
    <phoneticPr fontId="4"/>
  </si>
  <si>
    <t>ＣＤ・レコード　中古ＣＤ・中古レコード　</t>
    <phoneticPr fontId="4"/>
  </si>
  <si>
    <t>00000058</t>
    <phoneticPr fontId="4"/>
  </si>
  <si>
    <t>小売業　日用雑貨・文具・その他</t>
    <rPh sb="14" eb="15">
      <t>タ</t>
    </rPh>
    <phoneticPr fontId="4"/>
  </si>
  <si>
    <t>日用雑貨品・バラエティ雑貨（100円ｼｮｯﾌﾟ）・文房具店</t>
    <rPh sb="0" eb="2">
      <t>ニチヨウ</t>
    </rPh>
    <rPh sb="2" eb="4">
      <t>ザッカ</t>
    </rPh>
    <rPh sb="4" eb="5">
      <t>ヒン</t>
    </rPh>
    <rPh sb="11" eb="13">
      <t>ザッカ</t>
    </rPh>
    <rPh sb="17" eb="18">
      <t>エン</t>
    </rPh>
    <phoneticPr fontId="4"/>
  </si>
  <si>
    <t>東急ハンズ・伊東屋Afternoon Tea (グッズショプ)</t>
    <phoneticPr fontId="4"/>
  </si>
  <si>
    <t>00000061</t>
  </si>
  <si>
    <t>小売業　ドラッグストア・薬屋・調剤薬局</t>
    <rPh sb="15" eb="17">
      <t>チョウザイ</t>
    </rPh>
    <rPh sb="17" eb="19">
      <t>ヤッキョク</t>
    </rPh>
    <phoneticPr fontId="4"/>
  </si>
  <si>
    <t>薬店・漢方薬販売</t>
  </si>
  <si>
    <t>00000064</t>
    <phoneticPr fontId="4"/>
  </si>
  <si>
    <t>小売業　家具・ファブリック・その他</t>
    <phoneticPr fontId="4"/>
  </si>
  <si>
    <t>寝具・家具・じゅうたん・カーテン　（大型チェーン店）</t>
    <rPh sb="3" eb="5">
      <t>カグ</t>
    </rPh>
    <phoneticPr fontId="4"/>
  </si>
  <si>
    <t>FlancFlanc</t>
  </si>
  <si>
    <t>00000066</t>
  </si>
  <si>
    <t>小売業　電化製品・カメラチェーン店</t>
    <rPh sb="16" eb="17">
      <t>ミセ</t>
    </rPh>
    <phoneticPr fontId="4"/>
  </si>
  <si>
    <t>電化製品全般</t>
    <rPh sb="0" eb="2">
      <t>デンカ</t>
    </rPh>
    <rPh sb="2" eb="4">
      <t>セイヒン</t>
    </rPh>
    <rPh sb="4" eb="6">
      <t>ゼンパン</t>
    </rPh>
    <phoneticPr fontId="4"/>
  </si>
  <si>
    <t>LAOX、コジマ、ヤマダ電機　ヨドバシカメラ</t>
    <phoneticPr fontId="4"/>
  </si>
  <si>
    <t>00000070</t>
  </si>
  <si>
    <t>小売業　スポーツ用品　</t>
    <phoneticPr fontId="4"/>
  </si>
  <si>
    <t>スポーツ用品・釣具・運動衣（ユニホーム）　自転車　自転車付属品</t>
    <rPh sb="4" eb="6">
      <t>ヨウヒン</t>
    </rPh>
    <rPh sb="25" eb="28">
      <t>ジテンシャ</t>
    </rPh>
    <rPh sb="28" eb="30">
      <t>フゾク</t>
    </rPh>
    <rPh sb="30" eb="31">
      <t>ヒン</t>
    </rPh>
    <phoneticPr fontId="4"/>
  </si>
  <si>
    <t>Victria・MIZUNO・NIKE・addidas・Colman・Outdoorなど</t>
  </si>
  <si>
    <t>00000071</t>
  </si>
  <si>
    <t>小売業　チケット販売</t>
    <phoneticPr fontId="4"/>
  </si>
  <si>
    <t>チケット類販売（新規）・宝くじ販売・航空券</t>
    <rPh sb="18" eb="20">
      <t>コウクウ</t>
    </rPh>
    <rPh sb="20" eb="21">
      <t>ケン</t>
    </rPh>
    <phoneticPr fontId="4"/>
  </si>
  <si>
    <t>00000072</t>
  </si>
  <si>
    <t>小売業　玩具・娯楽用品・ホビー・ペットショップ</t>
    <phoneticPr fontId="4"/>
  </si>
  <si>
    <t>おもちゃ・テレビゲーム機　花屋・・ペットショップ・ペット関連グッズなど</t>
    <rPh sb="28" eb="30">
      <t>カンレン</t>
    </rPh>
    <phoneticPr fontId="4"/>
  </si>
  <si>
    <t>00000077</t>
  </si>
  <si>
    <t>小売業　建築材料・ホームセンター</t>
  </si>
  <si>
    <t>木材・セメント・ブロック・プラスチック・日曜大工用具</t>
    <phoneticPr fontId="4"/>
  </si>
  <si>
    <t>ジョイフルホンダ・Doit・ビックサム　ホーマックなど</t>
    <phoneticPr fontId="4"/>
  </si>
  <si>
    <t>00000081</t>
  </si>
  <si>
    <t>小売業　その他</t>
    <rPh sb="6" eb="7">
      <t>タ</t>
    </rPh>
    <phoneticPr fontId="4"/>
  </si>
  <si>
    <t>骨董品　リサイクル用品　印鑑</t>
    <rPh sb="9" eb="11">
      <t>ヨウヒン</t>
    </rPh>
    <rPh sb="12" eb="14">
      <t>インカン</t>
    </rPh>
    <phoneticPr fontId="4"/>
  </si>
  <si>
    <t>00000082</t>
  </si>
  <si>
    <t>レジャー　映画館</t>
  </si>
  <si>
    <t>映画館・シネコン・ミニシアター・ビデオシアター</t>
  </si>
  <si>
    <t>00000083</t>
  </si>
  <si>
    <t>レジャー　劇場　スタジアム　興行場</t>
    <phoneticPr fontId="4"/>
  </si>
  <si>
    <t>劇団・オーケストラ・歌劇・野球場・サッカー場・相撲興行場・サーカス小屋</t>
    <phoneticPr fontId="4"/>
  </si>
  <si>
    <t>日本武道館・国技館</t>
  </si>
  <si>
    <t>00000086</t>
  </si>
  <si>
    <t>レジャー　テーマパーク　その他</t>
    <rPh sb="14" eb="15">
      <t>タ</t>
    </rPh>
    <phoneticPr fontId="4"/>
  </si>
  <si>
    <t>テーマパーク　遊園地</t>
    <phoneticPr fontId="4"/>
  </si>
  <si>
    <t>USJ</t>
    <phoneticPr fontId="4"/>
  </si>
  <si>
    <t>00000087</t>
  </si>
  <si>
    <t>レジャー　リゾートスパ・スーパー銭湯</t>
  </si>
  <si>
    <t>リゾートスパ・サウナ・スーパー銭湯</t>
  </si>
  <si>
    <t>×</t>
  </si>
  <si>
    <t>00000091</t>
  </si>
  <si>
    <t>レジャー　パチンコ・パチスロ</t>
  </si>
  <si>
    <t>パチンコ・パチスロ</t>
  </si>
  <si>
    <t>00000092</t>
  </si>
  <si>
    <t>レジャー　ゲームセンター</t>
  </si>
  <si>
    <t>ゲームセンター</t>
    <phoneticPr fontId="4"/>
  </si>
  <si>
    <t>00000093</t>
  </si>
  <si>
    <t>レジャー　カラオケボックス</t>
  </si>
  <si>
    <t>カラオケボックス</t>
  </si>
  <si>
    <t>00000094</t>
  </si>
  <si>
    <t>レジャー　まんが喫茶・インターネットカフェ</t>
  </si>
  <si>
    <t>まんが喫茶・インターネットカフェ</t>
  </si>
  <si>
    <t>00000095</t>
  </si>
  <si>
    <t>レジャー　ダーツバー・その他遊技場　</t>
    <phoneticPr fontId="4"/>
  </si>
  <si>
    <t>ダーツバー・射的場・囲碁・将棋センター　マージャン荘</t>
    <phoneticPr fontId="4"/>
  </si>
  <si>
    <t>00000096</t>
  </si>
  <si>
    <t>レジャー　競輪場・競馬場・オートレース・競艇</t>
    <phoneticPr fontId="4"/>
  </si>
  <si>
    <t>競輪場　競馬場　場外馬券販売　オートレース・競艇</t>
    <phoneticPr fontId="4"/>
  </si>
  <si>
    <t>00000100</t>
  </si>
  <si>
    <t>レジャー　スキー場</t>
    <phoneticPr fontId="4"/>
  </si>
  <si>
    <t>スキー場</t>
    <phoneticPr fontId="4"/>
  </si>
  <si>
    <t>00000102</t>
  </si>
  <si>
    <t>レジャー　ゴルフ場</t>
  </si>
  <si>
    <t>ゴルフ場</t>
  </si>
  <si>
    <t>ゴルフカントリー</t>
    <phoneticPr fontId="4"/>
  </si>
  <si>
    <t>00000103</t>
  </si>
  <si>
    <t>レジャー　スポーツ施設（テニスコート　体育館など）</t>
    <rPh sb="19" eb="21">
      <t>タイイク</t>
    </rPh>
    <rPh sb="21" eb="22">
      <t>ヤカタ</t>
    </rPh>
    <phoneticPr fontId="4"/>
  </si>
  <si>
    <t>バレーボール・卓球場・スケートリンク・サッカー場・プール・公営野球場・フィールドアスレチック場　テニスコート・ゴルフ練習場（打ちっぱなし）</t>
    <rPh sb="58" eb="61">
      <t>レンシュウジョウ</t>
    </rPh>
    <rPh sb="62" eb="63">
      <t>ウ</t>
    </rPh>
    <phoneticPr fontId="4"/>
  </si>
  <si>
    <t>00000104</t>
    <phoneticPr fontId="4"/>
  </si>
  <si>
    <t>レジャー　ボウリング場　ビリヤード・バッティングセンター</t>
    <rPh sb="10" eb="11">
      <t>ジョウ</t>
    </rPh>
    <phoneticPr fontId="4"/>
  </si>
  <si>
    <t>00000108</t>
  </si>
  <si>
    <t>レジャー　ディスコ・クラブ・ダンスホール</t>
  </si>
  <si>
    <t>ダンスホール・クラブ・ディスコ</t>
  </si>
  <si>
    <t>フィットネスジム・アスレチッククラブ　各種スポーツスクール（スイミング・テニス・ゴルフ・エアロビクス・体操・柔道・剣道・ダイビング・サーフィン・ヨガ　ダンス）　乗馬クラブ</t>
    <rPh sb="19" eb="21">
      <t>カクシュ</t>
    </rPh>
    <rPh sb="51" eb="53">
      <t>タイソウ</t>
    </rPh>
    <rPh sb="54" eb="56">
      <t>ジュウドウ</t>
    </rPh>
    <rPh sb="57" eb="59">
      <t>ケンドウ</t>
    </rPh>
    <phoneticPr fontId="4"/>
  </si>
  <si>
    <t>00000115</t>
  </si>
  <si>
    <t xml:space="preserve">レジャー　ホテル・旅館・ カプセルホテル </t>
    <rPh sb="9" eb="11">
      <t>リョカン</t>
    </rPh>
    <phoneticPr fontId="4"/>
  </si>
  <si>
    <t>ホテル・観光ホテル・温泉旅館・民宿・ビジネスホテル</t>
    <phoneticPr fontId="4"/>
  </si>
  <si>
    <t>全日空ホテル ・ 東急イン ・ プリンスホテル</t>
    <rPh sb="0" eb="3">
      <t>ゼンニックウ</t>
    </rPh>
    <rPh sb="9" eb="11">
      <t>トウキュウ</t>
    </rPh>
    <phoneticPr fontId="4"/>
  </si>
  <si>
    <t>00000117</t>
  </si>
  <si>
    <t>レジャー　ラブホテル</t>
    <phoneticPr fontId="4"/>
  </si>
  <si>
    <t>ラブホテル</t>
    <phoneticPr fontId="4"/>
  </si>
  <si>
    <t>00000120</t>
  </si>
  <si>
    <t>レジャー　博物館・美術館・プラネタリウム・郷土資料館</t>
    <phoneticPr fontId="4"/>
  </si>
  <si>
    <t>天文博物館・貿易博物館・美術館・宝物館・歴史民族資料館</t>
    <phoneticPr fontId="4"/>
  </si>
  <si>
    <t>00000121</t>
  </si>
  <si>
    <t>レジャー　動物園・水族館・植物園</t>
  </si>
  <si>
    <t>動物園・植物園・水族館</t>
    <phoneticPr fontId="4"/>
  </si>
  <si>
    <t>00000122</t>
  </si>
  <si>
    <t>レジャー　旅行代理店・観光ガイド・ホテルツアーデスク</t>
    <rPh sb="11" eb="12">
      <t>カン</t>
    </rPh>
    <rPh sb="12" eb="13">
      <t>ヒカリ</t>
    </rPh>
    <phoneticPr fontId="4"/>
  </si>
  <si>
    <t>旅行代理店　ホテルツアーデスク</t>
    <phoneticPr fontId="4"/>
  </si>
  <si>
    <t>JTB、HIS,</t>
  </si>
  <si>
    <t>00000125</t>
  </si>
  <si>
    <t>レジャー　サービスエリア</t>
    <phoneticPr fontId="4"/>
  </si>
  <si>
    <t>SAなどの飲食物販･お土産屋・ドライブイン</t>
    <rPh sb="5" eb="7">
      <t>インショク</t>
    </rPh>
    <rPh sb="7" eb="9">
      <t>ブッパン</t>
    </rPh>
    <rPh sb="11" eb="13">
      <t>ミヤゲ</t>
    </rPh>
    <rPh sb="13" eb="14">
      <t>ヤ</t>
    </rPh>
    <phoneticPr fontId="4"/>
  </si>
  <si>
    <t>西日本高速道路</t>
    <rPh sb="0" eb="1">
      <t>ニシ</t>
    </rPh>
    <rPh sb="1" eb="3">
      <t>ニホン</t>
    </rPh>
    <rPh sb="3" eb="5">
      <t>コウソク</t>
    </rPh>
    <rPh sb="5" eb="7">
      <t>ドウロ</t>
    </rPh>
    <phoneticPr fontId="4"/>
  </si>
  <si>
    <t>00000126</t>
  </si>
  <si>
    <t>レジャー　お土産屋・観光</t>
    <rPh sb="10" eb="12">
      <t>カンコウ</t>
    </rPh>
    <phoneticPr fontId="4"/>
  </si>
  <si>
    <t>空港内・駅内･ホテルなどの土産物屋　</t>
    <rPh sb="13" eb="17">
      <t>ミヤゲモノヤ</t>
    </rPh>
    <phoneticPr fontId="4"/>
  </si>
  <si>
    <t>かに市場など</t>
  </si>
  <si>
    <t>00000200</t>
  </si>
  <si>
    <t>レジャー　観光名所　</t>
    <rPh sb="5" eb="7">
      <t>カンコウ</t>
    </rPh>
    <rPh sb="7" eb="9">
      <t>メイショ</t>
    </rPh>
    <phoneticPr fontId="4"/>
  </si>
  <si>
    <t>観光果樹園、果実狩り　遊覧船　川くだり　ロープウェイ</t>
    <rPh sb="6" eb="8">
      <t>カジツ</t>
    </rPh>
    <rPh sb="11" eb="14">
      <t>ユウランセン</t>
    </rPh>
    <rPh sb="15" eb="16">
      <t>カワ</t>
    </rPh>
    <phoneticPr fontId="4"/>
  </si>
  <si>
    <t>00000129</t>
  </si>
  <si>
    <t>サービス　美容院　床屋・理容院　</t>
    <phoneticPr fontId="4"/>
  </si>
  <si>
    <t>美容院　床屋・理容院　</t>
    <rPh sb="0" eb="3">
      <t>ビヨウイン</t>
    </rPh>
    <rPh sb="4" eb="6">
      <t>トコヤ</t>
    </rPh>
    <rPh sb="7" eb="9">
      <t>リヨウ</t>
    </rPh>
    <rPh sb="9" eb="10">
      <t>イン</t>
    </rPh>
    <phoneticPr fontId="4"/>
  </si>
  <si>
    <t>00000130</t>
  </si>
  <si>
    <t>サービス　エステティックサロン・ネイルサロン</t>
    <phoneticPr fontId="4"/>
  </si>
  <si>
    <t>エステティックサロン　ネイルサロン</t>
    <phoneticPr fontId="4"/>
  </si>
  <si>
    <t>00000132</t>
  </si>
  <si>
    <t>サービス　リラクゼーションマッサージ</t>
  </si>
  <si>
    <t>マッサージ業（リラクゼーションマッサージ）</t>
  </si>
  <si>
    <t>てもみん・QUEEN'S WAY</t>
  </si>
  <si>
    <t>00000133</t>
  </si>
  <si>
    <t>サービス　自動車・バイク・２輪車販売店</t>
    <rPh sb="18" eb="19">
      <t>テン</t>
    </rPh>
    <phoneticPr fontId="4"/>
  </si>
  <si>
    <t>自動車販売　バイク・２輪車販売</t>
    <phoneticPr fontId="4"/>
  </si>
  <si>
    <t>00000135</t>
  </si>
  <si>
    <t>サービス　自動車部品・カーアクセサリー</t>
    <phoneticPr fontId="4"/>
  </si>
  <si>
    <t>自動車部品･タイヤ・カーアクセサリー カーメンテナンス等</t>
    <rPh sb="27" eb="28">
      <t>ナド</t>
    </rPh>
    <phoneticPr fontId="4"/>
  </si>
  <si>
    <t>オートバックス、イエローハット、タイヤ館など</t>
  </si>
  <si>
    <t>00000137</t>
  </si>
  <si>
    <t>サービス　ガソリンスタンド</t>
  </si>
  <si>
    <t>ガソリンスタンド</t>
  </si>
  <si>
    <t>00000138</t>
  </si>
  <si>
    <t>サービス　駐車場　</t>
  </si>
  <si>
    <t>駐車場　公営駐車場 コインパーキング</t>
    <rPh sb="4" eb="6">
      <t>コウエイ</t>
    </rPh>
    <rPh sb="6" eb="8">
      <t>チュウシャ</t>
    </rPh>
    <rPh sb="8" eb="9">
      <t>ジョウ</t>
    </rPh>
    <phoneticPr fontId="4"/>
  </si>
  <si>
    <t>パーク24　リパークなど</t>
    <phoneticPr fontId="4"/>
  </si>
  <si>
    <t>00000139</t>
  </si>
  <si>
    <t>サービス　レンタカー</t>
  </si>
  <si>
    <t>レンタカー</t>
  </si>
  <si>
    <t>00000141</t>
  </si>
  <si>
    <t>サービス　自動車教習所</t>
  </si>
  <si>
    <t>自動車教習所</t>
  </si>
  <si>
    <t>00000142</t>
  </si>
  <si>
    <t>総合病院・大学病院</t>
  </si>
  <si>
    <t>00000145</t>
  </si>
  <si>
    <t>サービス　病院・診療所（入院施設なし）【職域以外はここ】</t>
    <phoneticPr fontId="4"/>
  </si>
  <si>
    <t>歯科　耳鼻科　眼科</t>
    <rPh sb="0" eb="2">
      <t>シカ</t>
    </rPh>
    <rPh sb="3" eb="6">
      <t>ジビカ</t>
    </rPh>
    <rPh sb="7" eb="9">
      <t>ガンカ</t>
    </rPh>
    <phoneticPr fontId="4"/>
  </si>
  <si>
    <t>00000148</t>
  </si>
  <si>
    <t>サービス　医療マッサージ（あん摩・マッサージ）・
針灸・指圧・整体</t>
  </si>
  <si>
    <t>あん摩・医療マッサージ・指圧・整体</t>
    <phoneticPr fontId="4"/>
  </si>
  <si>
    <t>00000150</t>
  </si>
  <si>
    <t>サービス　その他　医療サービス</t>
    <rPh sb="9" eb="11">
      <t>イリョウ</t>
    </rPh>
    <phoneticPr fontId="4"/>
  </si>
  <si>
    <t>温泉療法、催眠療法、視力回復センター</t>
  </si>
  <si>
    <t>00000152</t>
  </si>
  <si>
    <t>サービス　宅急便　バイク便・赤帽</t>
    <phoneticPr fontId="4"/>
  </si>
  <si>
    <t>宅急便　バイク便・赤帽</t>
    <phoneticPr fontId="4"/>
  </si>
  <si>
    <t>00000155</t>
  </si>
  <si>
    <t>サービス　レンタルＣＤ/ＤＶＤ/ビデオ・その他レンタル業</t>
    <phoneticPr fontId="4"/>
  </si>
  <si>
    <t>レンタルＣＤ・レンタルビデオ・レンタルＤＶＤ</t>
  </si>
  <si>
    <t>00000158</t>
  </si>
  <si>
    <t>サービス　ビジネスフォーム印刷</t>
  </si>
  <si>
    <t>00000159</t>
  </si>
  <si>
    <t>サービス　DPE　写真館 ビジネスフォーム印刷</t>
    <rPh sb="9" eb="12">
      <t>シャシンカン</t>
    </rPh>
    <phoneticPr fontId="4"/>
  </si>
  <si>
    <t>DPE・写真修整　写真館・ビジネスフォーム印刷</t>
    <rPh sb="9" eb="12">
      <t>シャシンカン</t>
    </rPh>
    <phoneticPr fontId="4"/>
  </si>
  <si>
    <t>00000160</t>
  </si>
  <si>
    <t>サービス　クリーニング店　コインランドリー</t>
    <phoneticPr fontId="4"/>
  </si>
  <si>
    <t>クリーニング屋・ランドリー屋</t>
  </si>
  <si>
    <t>00000166</t>
  </si>
  <si>
    <t>サービス　荷物預り・コインロッカー　トランクルーム</t>
    <phoneticPr fontId="4"/>
  </si>
  <si>
    <t>コインロッカー　トランクルーム</t>
    <phoneticPr fontId="4"/>
  </si>
  <si>
    <t>00000168</t>
  </si>
  <si>
    <t>サービス　服飾小物修理・仕立て直し</t>
    <rPh sb="5" eb="7">
      <t>フクショク</t>
    </rPh>
    <rPh sb="7" eb="9">
      <t>コモノ</t>
    </rPh>
    <phoneticPr fontId="4"/>
  </si>
  <si>
    <t>染み抜き・染め直し　衣服修理・仕立て直し・かけはぎ　靴修理</t>
    <rPh sb="10" eb="12">
      <t>イフク</t>
    </rPh>
    <rPh sb="12" eb="14">
      <t>シュウリ</t>
    </rPh>
    <rPh sb="15" eb="17">
      <t>シタ</t>
    </rPh>
    <rPh sb="18" eb="19">
      <t>ナオ</t>
    </rPh>
    <rPh sb="26" eb="27">
      <t>クツ</t>
    </rPh>
    <rPh sb="27" eb="29">
      <t>シュウリ</t>
    </rPh>
    <phoneticPr fontId="4"/>
  </si>
  <si>
    <t>MISTER MINTなど</t>
    <phoneticPr fontId="4"/>
  </si>
  <si>
    <t>00000170</t>
  </si>
  <si>
    <t>サービス　銭湯・サウナ　</t>
    <phoneticPr fontId="4"/>
  </si>
  <si>
    <t>銭湯 サウナ</t>
    <phoneticPr fontId="4"/>
  </si>
  <si>
    <t>00000171</t>
  </si>
  <si>
    <t>サービス　ケータイショップ</t>
    <phoneticPr fontId="4"/>
  </si>
  <si>
    <t>ケータイショップ</t>
    <phoneticPr fontId="4"/>
  </si>
  <si>
    <t>00000173</t>
  </si>
  <si>
    <t>サービス　その他サービス（ペットサロン・易所など）</t>
    <phoneticPr fontId="4"/>
  </si>
  <si>
    <t>占い・易断・靴磨き・ペットサロン</t>
    <phoneticPr fontId="4"/>
  </si>
  <si>
    <t>00000174</t>
  </si>
  <si>
    <t>必要</t>
    <rPh sb="0" eb="2">
      <t>ヒツヨウ</t>
    </rPh>
    <phoneticPr fontId="4"/>
  </si>
  <si>
    <t>サービス　学習塾・予備校</t>
    <phoneticPr fontId="4"/>
  </si>
  <si>
    <t>学習塾・進学塾・予備校（各種学校でないもの）</t>
    <phoneticPr fontId="4"/>
  </si>
  <si>
    <t>00000179</t>
  </si>
  <si>
    <t>サービス　鉄道</t>
    <rPh sb="5" eb="7">
      <t>テツドウ</t>
    </rPh>
    <phoneticPr fontId="4"/>
  </si>
  <si>
    <t>鉄道</t>
    <rPh sb="0" eb="2">
      <t>テツドウ</t>
    </rPh>
    <phoneticPr fontId="4"/>
  </si>
  <si>
    <t>00000180</t>
    <phoneticPr fontId="4"/>
  </si>
  <si>
    <t>サービス　カルチャースクール・習い事</t>
    <rPh sb="15" eb="16">
      <t>ナラ</t>
    </rPh>
    <rPh sb="17" eb="18">
      <t>ゴト</t>
    </rPh>
    <phoneticPr fontId="4"/>
  </si>
  <si>
    <t>着付・料理・フラワーアレンジ・工芸教室（陶芸・彫金）・書道・華道 
外国語教室・英会話教室</t>
    <rPh sb="3" eb="5">
      <t>リョウリ</t>
    </rPh>
    <rPh sb="27" eb="29">
      <t>ショドウ</t>
    </rPh>
    <rPh sb="30" eb="32">
      <t>カドウ</t>
    </rPh>
    <phoneticPr fontId="4"/>
  </si>
  <si>
    <t>00000181</t>
  </si>
  <si>
    <t>サービス　乗合バス</t>
  </si>
  <si>
    <t>乗合バス</t>
  </si>
  <si>
    <t>00000182</t>
  </si>
  <si>
    <t>サービス　タクシー・ハイヤー</t>
  </si>
  <si>
    <t>タクシー・ハイヤー</t>
  </si>
  <si>
    <t>00000183</t>
  </si>
  <si>
    <t>職域　食堂</t>
  </si>
  <si>
    <t>職域食堂</t>
  </si>
  <si>
    <t>00000184</t>
  </si>
  <si>
    <t>職域　売店</t>
  </si>
  <si>
    <t>職域売店</t>
  </si>
  <si>
    <t>00000185</t>
  </si>
  <si>
    <t>職域　自動販売機</t>
  </si>
  <si>
    <t>職域自動販売機</t>
  </si>
  <si>
    <t>00000186</t>
  </si>
  <si>
    <t>職域　その他</t>
  </si>
  <si>
    <t>職域その他</t>
  </si>
  <si>
    <t>職員用フィットネス・稽古事・クラブ活動など</t>
  </si>
  <si>
    <t>00000187</t>
  </si>
  <si>
    <t>学校　食堂</t>
  </si>
  <si>
    <t>学校内食堂</t>
  </si>
  <si>
    <t>00000188</t>
  </si>
  <si>
    <t>学校　売店</t>
  </si>
  <si>
    <t>学校内売店</t>
  </si>
  <si>
    <t>00000189</t>
  </si>
  <si>
    <t>学校　自動販売機</t>
  </si>
  <si>
    <t>学校内自動販売機</t>
  </si>
  <si>
    <t>00000190</t>
  </si>
  <si>
    <t>学校　その他</t>
  </si>
  <si>
    <t>学校内その他</t>
  </si>
  <si>
    <t>00000191</t>
  </si>
  <si>
    <t>病院　食堂</t>
  </si>
  <si>
    <t>病院内食堂</t>
  </si>
  <si>
    <t>00000192</t>
  </si>
  <si>
    <t>病院　売店</t>
  </si>
  <si>
    <t>病院内売店</t>
  </si>
  <si>
    <t>00000193</t>
  </si>
  <si>
    <t>病院　自動販売機</t>
  </si>
  <si>
    <t>病院内自動販売機</t>
  </si>
  <si>
    <t>00000194</t>
  </si>
  <si>
    <t>病院　その他</t>
  </si>
  <si>
    <t>病院内その他</t>
  </si>
  <si>
    <t>00000195</t>
  </si>
  <si>
    <t>その他閉鎖商圏　食堂</t>
  </si>
  <si>
    <t>食堂</t>
  </si>
  <si>
    <t>00000196</t>
  </si>
  <si>
    <t>その他閉鎖商圏　売店</t>
  </si>
  <si>
    <t>売店</t>
  </si>
  <si>
    <t>00000197</t>
  </si>
  <si>
    <t>その他閉鎖商圏　自動販売機</t>
  </si>
  <si>
    <t>自動販売機</t>
  </si>
  <si>
    <t>GCOの自販機など</t>
  </si>
  <si>
    <t>00000198</t>
  </si>
  <si>
    <t>その他閉鎖商圏　その他</t>
  </si>
  <si>
    <t>その他</t>
  </si>
  <si>
    <t>00000203</t>
  </si>
  <si>
    <t>閉鎖商圏　イベント　１</t>
  </si>
  <si>
    <t>イベント　１</t>
  </si>
  <si>
    <t>ICCW / CTEC / アミューズメントマシンショー等／札幌地下街　予備機など</t>
    <rPh sb="30" eb="32">
      <t>サッポロ</t>
    </rPh>
    <rPh sb="32" eb="35">
      <t>チカガイ</t>
    </rPh>
    <rPh sb="36" eb="38">
      <t>ヨビ</t>
    </rPh>
    <rPh sb="38" eb="39">
      <t>キ</t>
    </rPh>
    <phoneticPr fontId="4"/>
  </si>
  <si>
    <t>00000204</t>
  </si>
  <si>
    <t>Cyber加盟店物販</t>
  </si>
  <si>
    <t>ｻｲﾊﾞｰ加盟店　ﾓｰﾙ</t>
  </si>
  <si>
    <t>トイザらス・どっと・コム等</t>
  </si>
  <si>
    <t>00000205</t>
  </si>
  <si>
    <t>Cyber加盟店 Mobile　物販</t>
  </si>
  <si>
    <t>ｻｲﾊﾞｰ加盟店　携帯ｻｲﾄ</t>
  </si>
  <si>
    <t>ﾄﾞｰｶﾞ(ﾃﾞｼﾞﾀﾙｺﾝﾃﾝﾂ）等</t>
  </si>
  <si>
    <t>00000206</t>
  </si>
  <si>
    <t>Cyber加盟店 その他　物販</t>
  </si>
  <si>
    <t>00000207</t>
  </si>
  <si>
    <t>Cyber加盟店 デジタル</t>
  </si>
  <si>
    <t>00000208</t>
  </si>
  <si>
    <t>Cyber加盟店 Mobile　デジタル</t>
  </si>
  <si>
    <t>00000209</t>
  </si>
  <si>
    <t>Cyber加盟店 その他　デジタル</t>
  </si>
  <si>
    <t>00000210</t>
  </si>
  <si>
    <t>Cyber加盟店 アダルト</t>
  </si>
  <si>
    <t>00000211</t>
  </si>
  <si>
    <t>Cyber加盟店 Mobile　アダルト</t>
  </si>
  <si>
    <t>00000212</t>
  </si>
  <si>
    <t>Cyber加盟店 その他　アダルト</t>
  </si>
  <si>
    <t>ダミー</t>
    <phoneticPr fontId="4"/>
  </si>
  <si>
    <t>加盟店審査チェックシート</t>
    <rPh sb="0" eb="2">
      <t>カメイ</t>
    </rPh>
    <rPh sb="2" eb="3">
      <t>テン</t>
    </rPh>
    <rPh sb="3" eb="5">
      <t>シンサ</t>
    </rPh>
    <phoneticPr fontId="4"/>
  </si>
  <si>
    <t>業種ID</t>
    <rPh sb="0" eb="2">
      <t>ギョウシュ</t>
    </rPh>
    <phoneticPr fontId="4"/>
  </si>
  <si>
    <t>業種</t>
    <rPh sb="0" eb="2">
      <t>ギョウシュ</t>
    </rPh>
    <phoneticPr fontId="4"/>
  </si>
  <si>
    <t>提出日</t>
    <rPh sb="0" eb="2">
      <t>テイシュツ</t>
    </rPh>
    <rPh sb="2" eb="3">
      <t>ビ</t>
    </rPh>
    <phoneticPr fontId="4"/>
  </si>
  <si>
    <t>①資金決済法上、問題がある為に取り扱わないもの</t>
    <rPh sb="6" eb="7">
      <t>ジョウ</t>
    </rPh>
    <phoneticPr fontId="4"/>
  </si>
  <si>
    <t>　(1)- 資金移動業に該当するおそれがある商品・ｻｰﾋﾞｽ　（Edyで支払い不可であれば「はい」に該当）</t>
    <rPh sb="10" eb="11">
      <t>ギョウ</t>
    </rPh>
    <rPh sb="36" eb="38">
      <t>シハラ</t>
    </rPh>
    <rPh sb="39" eb="41">
      <t>フカ</t>
    </rPh>
    <rPh sb="50" eb="52">
      <t>ガイトウ</t>
    </rPh>
    <phoneticPr fontId="78"/>
  </si>
  <si>
    <t>　　   ex)払戻しする金券類の取扱、釣銭が出る金券＝換金性があるもの</t>
  </si>
  <si>
    <t>チェック項目</t>
    <rPh sb="4" eb="6">
      <t>コウモク</t>
    </rPh>
    <phoneticPr fontId="4"/>
  </si>
  <si>
    <t>確認内容</t>
    <rPh sb="0" eb="2">
      <t>カクニン</t>
    </rPh>
    <rPh sb="2" eb="4">
      <t>ナイヨウ</t>
    </rPh>
    <phoneticPr fontId="4"/>
  </si>
  <si>
    <t>確認結果</t>
    <rPh sb="0" eb="2">
      <t>カクニン</t>
    </rPh>
    <rPh sb="2" eb="4">
      <t>ケッカ</t>
    </rPh>
    <phoneticPr fontId="4"/>
  </si>
  <si>
    <t>Edyの買取を行っていない
（Edyの買い取り業者ではない）</t>
  </si>
  <si>
    <t>「Edyの買取」を行っている事業者ではない</t>
  </si>
  <si>
    <t>（公的に）換金可能な商品をEdyで販売していない</t>
  </si>
  <si>
    <t>換金可能な商品（払戻しできる金券、釣銭が出る金券）をEdyで販売していない
　例）交通系プリペイドカード</t>
  </si>
  <si>
    <t>　(2)- 公序良俗に反する商品・サービス　（Edyで支払えないとしても、その店舗で取り扱っているだけで「いいえ」に該当）</t>
    <rPh sb="27" eb="29">
      <t>シハラ</t>
    </rPh>
    <rPh sb="39" eb="41">
      <t>テンポ</t>
    </rPh>
    <rPh sb="42" eb="43">
      <t>ト</t>
    </rPh>
    <rPh sb="44" eb="45">
      <t>アツカ</t>
    </rPh>
    <rPh sb="58" eb="60">
      <t>ガイトウ</t>
    </rPh>
    <phoneticPr fontId="4"/>
  </si>
  <si>
    <t>武器取引関連</t>
    <rPh sb="0" eb="2">
      <t>ブキ</t>
    </rPh>
    <rPh sb="2" eb="4">
      <t>トリヒキ</t>
    </rPh>
    <rPh sb="4" eb="6">
      <t>カンレン</t>
    </rPh>
    <phoneticPr fontId="4"/>
  </si>
  <si>
    <t>人を殺傷することを目的として製作されたものの販売及び制作方法の掲載をしていない</t>
    <rPh sb="0" eb="1">
      <t>ヒト</t>
    </rPh>
    <rPh sb="2" eb="4">
      <t>サッショウ</t>
    </rPh>
    <rPh sb="9" eb="11">
      <t>モクテキ</t>
    </rPh>
    <rPh sb="14" eb="16">
      <t>セイサク</t>
    </rPh>
    <rPh sb="22" eb="24">
      <t>ハンバイ</t>
    </rPh>
    <rPh sb="24" eb="25">
      <t>オヨ</t>
    </rPh>
    <rPh sb="26" eb="28">
      <t>セイサク</t>
    </rPh>
    <rPh sb="28" eb="30">
      <t>ホウホウ</t>
    </rPh>
    <rPh sb="31" eb="33">
      <t>ケイサイ</t>
    </rPh>
    <phoneticPr fontId="4"/>
  </si>
  <si>
    <t>薬物取引関連</t>
    <rPh sb="0" eb="2">
      <t>ヤクブツ</t>
    </rPh>
    <rPh sb="2" eb="4">
      <t>トリヒキ</t>
    </rPh>
    <rPh sb="4" eb="6">
      <t>カンレン</t>
    </rPh>
    <phoneticPr fontId="4"/>
  </si>
  <si>
    <t>・規制薬物及び脱法ドラッグ等の販売をしていない
・規制薬物入手法等の掲示をしていない</t>
    <rPh sb="1" eb="3">
      <t>キセイ</t>
    </rPh>
    <rPh sb="3" eb="5">
      <t>ヤクブツ</t>
    </rPh>
    <rPh sb="5" eb="6">
      <t>オヨ</t>
    </rPh>
    <rPh sb="7" eb="9">
      <t>ダッポウ</t>
    </rPh>
    <rPh sb="13" eb="14">
      <t>トウ</t>
    </rPh>
    <rPh sb="15" eb="17">
      <t>ハンバイ</t>
    </rPh>
    <rPh sb="25" eb="27">
      <t>キセイ</t>
    </rPh>
    <rPh sb="27" eb="29">
      <t>ヤクブツ</t>
    </rPh>
    <rPh sb="29" eb="31">
      <t>ニュウシュ</t>
    </rPh>
    <rPh sb="31" eb="32">
      <t>ホウ</t>
    </rPh>
    <rPh sb="32" eb="33">
      <t>トウ</t>
    </rPh>
    <rPh sb="34" eb="36">
      <t>ケイジ</t>
    </rPh>
    <phoneticPr fontId="4"/>
  </si>
  <si>
    <t>ギャンブル関連</t>
    <rPh sb="5" eb="7">
      <t>カンレン</t>
    </rPh>
    <phoneticPr fontId="4"/>
  </si>
  <si>
    <t>ギャンブルの掛け金に関する決済でない
（公営ギャンブルは除く）</t>
    <rPh sb="6" eb="7">
      <t>カ</t>
    </rPh>
    <rPh sb="8" eb="9">
      <t>キン</t>
    </rPh>
    <rPh sb="10" eb="11">
      <t>カン</t>
    </rPh>
    <rPh sb="13" eb="15">
      <t>ケッサイ</t>
    </rPh>
    <rPh sb="20" eb="22">
      <t>コウエイ</t>
    </rPh>
    <rPh sb="28" eb="29">
      <t>ノゾ</t>
    </rPh>
    <phoneticPr fontId="4"/>
  </si>
  <si>
    <t>わいせつ画像関連</t>
    <rPh sb="4" eb="6">
      <t>ガゾウ</t>
    </rPh>
    <rPh sb="6" eb="8">
      <t>カンレン</t>
    </rPh>
    <phoneticPr fontId="4"/>
  </si>
  <si>
    <t>無修正画像・映像等の提供でない</t>
    <rPh sb="0" eb="3">
      <t>ムシュウセイ</t>
    </rPh>
    <rPh sb="3" eb="5">
      <t>ガゾウ</t>
    </rPh>
    <rPh sb="6" eb="8">
      <t>エイゾウ</t>
    </rPh>
    <rPh sb="8" eb="9">
      <t>トウ</t>
    </rPh>
    <rPh sb="10" eb="12">
      <t>テイキョウ</t>
    </rPh>
    <phoneticPr fontId="4"/>
  </si>
  <si>
    <t>過激な画像関連</t>
    <rPh sb="0" eb="2">
      <t>カゲキ</t>
    </rPh>
    <rPh sb="3" eb="5">
      <t>ガゾウ</t>
    </rPh>
    <rPh sb="5" eb="7">
      <t>カンレン</t>
    </rPh>
    <phoneticPr fontId="4"/>
  </si>
  <si>
    <t>猟奇的・残虐的な画像・映像等の掲載をしていない</t>
    <rPh sb="0" eb="3">
      <t>リョウキテキ</t>
    </rPh>
    <rPh sb="4" eb="6">
      <t>ザンギャク</t>
    </rPh>
    <rPh sb="6" eb="7">
      <t>テキ</t>
    </rPh>
    <rPh sb="8" eb="10">
      <t>ガゾウ</t>
    </rPh>
    <rPh sb="11" eb="13">
      <t>エイゾウ</t>
    </rPh>
    <rPh sb="13" eb="14">
      <t>トウ</t>
    </rPh>
    <rPh sb="15" eb="17">
      <t>ケイサイ</t>
    </rPh>
    <phoneticPr fontId="4"/>
  </si>
  <si>
    <t>法令違反行為の推奨・助長</t>
    <rPh sb="0" eb="2">
      <t>ホウレイ</t>
    </rPh>
    <rPh sb="2" eb="4">
      <t>イハン</t>
    </rPh>
    <rPh sb="4" eb="6">
      <t>コウイ</t>
    </rPh>
    <rPh sb="7" eb="9">
      <t>スイショウ</t>
    </rPh>
    <rPh sb="10" eb="12">
      <t>ジョチョウ</t>
    </rPh>
    <phoneticPr fontId="4"/>
  </si>
  <si>
    <t>違法性の高い裏情報、違法物の制作方法の掲載をしていない</t>
    <rPh sb="0" eb="3">
      <t>イホウセイ</t>
    </rPh>
    <rPh sb="4" eb="5">
      <t>タカ</t>
    </rPh>
    <rPh sb="6" eb="7">
      <t>ウラ</t>
    </rPh>
    <rPh sb="7" eb="9">
      <t>ジョウホウ</t>
    </rPh>
    <rPh sb="10" eb="12">
      <t>イホウ</t>
    </rPh>
    <rPh sb="12" eb="13">
      <t>ブツ</t>
    </rPh>
    <rPh sb="14" eb="16">
      <t>セイサク</t>
    </rPh>
    <rPh sb="16" eb="18">
      <t>ホウホウ</t>
    </rPh>
    <rPh sb="19" eb="21">
      <t>ケイサイ</t>
    </rPh>
    <phoneticPr fontId="4"/>
  </si>
  <si>
    <t>児童ポルノ画像関連</t>
    <rPh sb="0" eb="2">
      <t>ジドウ</t>
    </rPh>
    <rPh sb="5" eb="7">
      <t>ガゾウ</t>
    </rPh>
    <rPh sb="7" eb="9">
      <t>カンレン</t>
    </rPh>
    <phoneticPr fontId="4"/>
  </si>
  <si>
    <t>18歳未満と推測されるモデルを性的な対象とした画像等の掲載をしていない</t>
    <rPh sb="2" eb="3">
      <t>サイ</t>
    </rPh>
    <rPh sb="3" eb="5">
      <t>ミマン</t>
    </rPh>
    <rPh sb="6" eb="8">
      <t>スイソク</t>
    </rPh>
    <rPh sb="15" eb="17">
      <t>セイテキ</t>
    </rPh>
    <rPh sb="18" eb="20">
      <t>タイショウ</t>
    </rPh>
    <rPh sb="23" eb="25">
      <t>ガゾウ</t>
    </rPh>
    <rPh sb="25" eb="26">
      <t>トウ</t>
    </rPh>
    <rPh sb="27" eb="29">
      <t>ケイサイ</t>
    </rPh>
    <phoneticPr fontId="4"/>
  </si>
  <si>
    <t>悪質商法</t>
    <rPh sb="0" eb="2">
      <t>アクシツ</t>
    </rPh>
    <rPh sb="2" eb="4">
      <t>ショウホウ</t>
    </rPh>
    <phoneticPr fontId="4"/>
  </si>
  <si>
    <t>悪質なオークション商法・訪問買取商法・霊感商法・ネズミ講・違法なマルチ商法等をしていない</t>
    <rPh sb="27" eb="28">
      <t>コウ</t>
    </rPh>
    <rPh sb="29" eb="31">
      <t>イホウ</t>
    </rPh>
    <rPh sb="35" eb="37">
      <t>ショウホウ</t>
    </rPh>
    <rPh sb="37" eb="38">
      <t>トウ</t>
    </rPh>
    <phoneticPr fontId="4"/>
  </si>
  <si>
    <t>詐欺的なサクラサイト商法</t>
    <phoneticPr fontId="4"/>
  </si>
  <si>
    <t>「サクラ」が、異性、タレント、社長、弁護士、占い師などになりすまし、消費者の気持ちを利用し、サイト誘導の上有料サービスを利用・継続させる商法をしていない</t>
  </si>
  <si>
    <t>出会い系関連</t>
    <rPh sb="0" eb="2">
      <t>デア</t>
    </rPh>
    <rPh sb="3" eb="4">
      <t>ケイ</t>
    </rPh>
    <rPh sb="4" eb="6">
      <t>カンレン</t>
    </rPh>
    <phoneticPr fontId="4"/>
  </si>
  <si>
    <t>・サイトに児童買春を推奨・公定するような表現がない
・サイト利用者が児童でないことを確認する事項がある（年齢認証・18歳未満利用禁止等）
・公的な届け出を行っている、サイト上で掲示されている</t>
  </si>
  <si>
    <t>知財関連</t>
    <rPh sb="0" eb="1">
      <t>チ</t>
    </rPh>
    <rPh sb="1" eb="2">
      <t>ザイ</t>
    </rPh>
    <rPh sb="2" eb="4">
      <t>カンレン</t>
    </rPh>
    <phoneticPr fontId="4"/>
  </si>
  <si>
    <t>・商標・デザイン・マークなどを盗用した違法商品の販売をしていない
・他人のコンテンツ（ホームページや写真、記事等）を無断で掲載していない</t>
    <rPh sb="1" eb="3">
      <t>ショウヒョウ</t>
    </rPh>
    <rPh sb="15" eb="17">
      <t>トウヨウ</t>
    </rPh>
    <rPh sb="19" eb="21">
      <t>イホウ</t>
    </rPh>
    <rPh sb="21" eb="23">
      <t>ショウヒン</t>
    </rPh>
    <rPh sb="24" eb="26">
      <t>ハンバイ</t>
    </rPh>
    <rPh sb="34" eb="36">
      <t>タニン</t>
    </rPh>
    <rPh sb="50" eb="52">
      <t>シャシン</t>
    </rPh>
    <rPh sb="53" eb="55">
      <t>キジ</t>
    </rPh>
    <rPh sb="55" eb="56">
      <t>トウ</t>
    </rPh>
    <rPh sb="58" eb="60">
      <t>ムダン</t>
    </rPh>
    <rPh sb="61" eb="63">
      <t>ケイサイ</t>
    </rPh>
    <phoneticPr fontId="4"/>
  </si>
  <si>
    <t>名誉毀損、信用毀損</t>
    <rPh sb="0" eb="2">
      <t>メイヨ</t>
    </rPh>
    <rPh sb="2" eb="4">
      <t>キソン</t>
    </rPh>
    <rPh sb="5" eb="7">
      <t>シンヨウ</t>
    </rPh>
    <rPh sb="7" eb="9">
      <t>キソン</t>
    </rPh>
    <phoneticPr fontId="4"/>
  </si>
  <si>
    <t>個人・法人問わず誹謗中傷する情報を載せていない</t>
    <rPh sb="0" eb="2">
      <t>コジン</t>
    </rPh>
    <rPh sb="3" eb="5">
      <t>ホウジン</t>
    </rPh>
    <rPh sb="5" eb="6">
      <t>ト</t>
    </rPh>
    <rPh sb="8" eb="10">
      <t>ヒボウ</t>
    </rPh>
    <rPh sb="10" eb="12">
      <t>チュウショウ</t>
    </rPh>
    <rPh sb="14" eb="16">
      <t>ジョウホウ</t>
    </rPh>
    <rPh sb="17" eb="18">
      <t>ノ</t>
    </rPh>
    <phoneticPr fontId="4"/>
  </si>
  <si>
    <t>肖像権、プライバシー権、パブリシティー権</t>
    <rPh sb="0" eb="2">
      <t>ショウゾウ</t>
    </rPh>
    <rPh sb="2" eb="3">
      <t>ケン</t>
    </rPh>
    <rPh sb="10" eb="11">
      <t>ケン</t>
    </rPh>
    <rPh sb="19" eb="20">
      <t>ケン</t>
    </rPh>
    <phoneticPr fontId="4"/>
  </si>
  <si>
    <t>・私人の個人情報の無断掲載をしていない
・著名人の写真の無断掲載及びコラージュ画像等の掲載をしていない
・盗撮画像・映像等の掲載をしていない</t>
    <rPh sb="1" eb="3">
      <t>シジン</t>
    </rPh>
    <rPh sb="4" eb="6">
      <t>コジン</t>
    </rPh>
    <rPh sb="6" eb="8">
      <t>ジョウホウ</t>
    </rPh>
    <rPh sb="9" eb="11">
      <t>ムダン</t>
    </rPh>
    <rPh sb="11" eb="13">
      <t>ケイサイ</t>
    </rPh>
    <rPh sb="21" eb="23">
      <t>チョメイ</t>
    </rPh>
    <rPh sb="23" eb="24">
      <t>ジン</t>
    </rPh>
    <rPh sb="25" eb="27">
      <t>シャシン</t>
    </rPh>
    <rPh sb="28" eb="30">
      <t>ムダン</t>
    </rPh>
    <rPh sb="30" eb="32">
      <t>ケイサイ</t>
    </rPh>
    <rPh sb="32" eb="33">
      <t>オヨ</t>
    </rPh>
    <rPh sb="39" eb="41">
      <t>ガゾウ</t>
    </rPh>
    <rPh sb="41" eb="42">
      <t>トウ</t>
    </rPh>
    <rPh sb="43" eb="45">
      <t>ケイサイ</t>
    </rPh>
    <rPh sb="53" eb="55">
      <t>トウサツ</t>
    </rPh>
    <rPh sb="55" eb="57">
      <t>ガゾウ</t>
    </rPh>
    <rPh sb="58" eb="60">
      <t>エイゾウ</t>
    </rPh>
    <rPh sb="60" eb="61">
      <t>トウ</t>
    </rPh>
    <rPh sb="62" eb="64">
      <t>ケイサイ</t>
    </rPh>
    <phoneticPr fontId="4"/>
  </si>
  <si>
    <r>
      <t>②楽天Edyとして</t>
    </r>
    <r>
      <rPr>
        <sz val="10"/>
        <rFont val="ＭＳ Ｐゴシック"/>
        <family val="3"/>
        <charset val="128"/>
      </rPr>
      <t>、取り扱わないと決めているもの</t>
    </r>
    <rPh sb="1" eb="3">
      <t>ラクテン</t>
    </rPh>
    <phoneticPr fontId="4"/>
  </si>
  <si>
    <t>　(1)- 楽天Edyとして取り扱いを禁止している商品・サービス</t>
    <rPh sb="6" eb="8">
      <t>ラクテン</t>
    </rPh>
    <rPh sb="14" eb="15">
      <t>ト</t>
    </rPh>
    <rPh sb="16" eb="17">
      <t>アツカ</t>
    </rPh>
    <rPh sb="19" eb="21">
      <t>キンシ</t>
    </rPh>
    <phoneticPr fontId="4"/>
  </si>
  <si>
    <t>換金を目的として販売される金券類を、Edyで販売していない</t>
  </si>
  <si>
    <t>換金を目的としてギフトカード、商品券、プリペイドカード、印紙・切手などの商品をEdyで販売していない</t>
    <rPh sb="0" eb="2">
      <t>カンキン</t>
    </rPh>
    <rPh sb="3" eb="5">
      <t>モクテキ</t>
    </rPh>
    <rPh sb="36" eb="38">
      <t>ショウヒン</t>
    </rPh>
    <rPh sb="43" eb="45">
      <t>ハンバイ</t>
    </rPh>
    <phoneticPr fontId="4"/>
  </si>
  <si>
    <t>RMT（リアルマネートレード/リアルマネートレーディング）を行っていない</t>
    <rPh sb="30" eb="31">
      <t>オコナ</t>
    </rPh>
    <phoneticPr fontId="4"/>
  </si>
  <si>
    <t>オンラインゲームやソーシャル内でのキャラクター・アイテム・仮想通貨などを売買を行っていない</t>
    <rPh sb="39" eb="40">
      <t>オコナ</t>
    </rPh>
    <phoneticPr fontId="4"/>
  </si>
  <si>
    <t>特定継続的役務関連商品をEdyで販売していない</t>
    <rPh sb="0" eb="2">
      <t>トクテイ</t>
    </rPh>
    <rPh sb="2" eb="5">
      <t>ケイゾクテキ</t>
    </rPh>
    <rPh sb="5" eb="7">
      <t>エキム</t>
    </rPh>
    <rPh sb="7" eb="9">
      <t>カンレン</t>
    </rPh>
    <rPh sb="9" eb="11">
      <t>ショウヒン</t>
    </rPh>
    <rPh sb="16" eb="18">
      <t>ハンバイ</t>
    </rPh>
    <phoneticPr fontId="4"/>
  </si>
  <si>
    <t>エステティック　１か月を超えて5万円を超える支払に該当しない</t>
    <rPh sb="10" eb="11">
      <t>ゲツ</t>
    </rPh>
    <rPh sb="12" eb="13">
      <t>コ</t>
    </rPh>
    <rPh sb="16" eb="18">
      <t>マンエン</t>
    </rPh>
    <rPh sb="19" eb="20">
      <t>コ</t>
    </rPh>
    <rPh sb="22" eb="24">
      <t>シハライ</t>
    </rPh>
    <rPh sb="25" eb="27">
      <t>ガイトウ</t>
    </rPh>
    <phoneticPr fontId="4"/>
  </si>
  <si>
    <t>語学教育　２か月を超えて5万円を超える支払に該当しない</t>
    <rPh sb="0" eb="2">
      <t>ゴガク</t>
    </rPh>
    <rPh sb="2" eb="4">
      <t>キョウイク</t>
    </rPh>
    <phoneticPr fontId="4"/>
  </si>
  <si>
    <t>学習塾　２か月を超えて5万円を超える支払に該当しない</t>
    <rPh sb="0" eb="3">
      <t>ガクシュウジュク</t>
    </rPh>
    <phoneticPr fontId="4"/>
  </si>
  <si>
    <t>家庭教師　２か月を超えて5万円を超える支払に該当しない</t>
    <rPh sb="0" eb="2">
      <t>カテイ</t>
    </rPh>
    <rPh sb="2" eb="4">
      <t>キョウシ</t>
    </rPh>
    <phoneticPr fontId="4"/>
  </si>
  <si>
    <t>パソコン教室　２か月を超えて5万円を超える支払に該当しない</t>
    <rPh sb="4" eb="6">
      <t>キョウシツ</t>
    </rPh>
    <phoneticPr fontId="4"/>
  </si>
  <si>
    <t>結婚情報提供　２か月を超えて5万円を超える支払に該当しない</t>
    <rPh sb="0" eb="2">
      <t>ケッコン</t>
    </rPh>
    <rPh sb="2" eb="4">
      <t>ジョウホウ</t>
    </rPh>
    <rPh sb="4" eb="6">
      <t>テイキョウ</t>
    </rPh>
    <phoneticPr fontId="4"/>
  </si>
  <si>
    <t>その他サービスにおいて２か月を超えて5万円を超える支払に該当しない</t>
    <rPh sb="2" eb="3">
      <t>タ</t>
    </rPh>
    <phoneticPr fontId="4"/>
  </si>
  <si>
    <t>備考欄</t>
    <rPh sb="0" eb="2">
      <t>ビコウ</t>
    </rPh>
    <rPh sb="2" eb="3">
      <t>ラン</t>
    </rPh>
    <phoneticPr fontId="4"/>
  </si>
  <si>
    <t>2016/5/31版</t>
    <rPh sb="9" eb="10">
      <t>ハン</t>
    </rPh>
    <phoneticPr fontId="4"/>
  </si>
  <si>
    <t>00000019</t>
    <phoneticPr fontId="4"/>
  </si>
  <si>
    <t>デニーズ・ジョナサン（各種料理取り揃えているお店）
藍屋→和食・バーミヤン→中華・サイゼリア→イタリアン</t>
    <phoneticPr fontId="4"/>
  </si>
  <si>
    <t>○</t>
    <phoneticPr fontId="3"/>
  </si>
  <si>
    <t xml:space="preserve">大戸屋など </t>
    <phoneticPr fontId="4"/>
  </si>
  <si>
    <t>00000017</t>
    <phoneticPr fontId="3"/>
  </si>
  <si>
    <t>チェックシート</t>
    <phoneticPr fontId="4"/>
  </si>
  <si>
    <t>業種</t>
    <phoneticPr fontId="3"/>
  </si>
  <si>
    <t>該当する業種を
ご選択ください</t>
    <rPh sb="0" eb="2">
      <t>ガイトウ</t>
    </rPh>
    <rPh sb="4" eb="6">
      <t>ギョウシュ</t>
    </rPh>
    <rPh sb="9" eb="11">
      <t>センタク</t>
    </rPh>
    <phoneticPr fontId="3"/>
  </si>
  <si>
    <t>ご選択された業種</t>
    <rPh sb="1" eb="3">
      <t>センタク</t>
    </rPh>
    <rPh sb="6" eb="8">
      <t>ギョウシュ</t>
    </rPh>
    <phoneticPr fontId="3"/>
  </si>
  <si>
    <t>【楽天Edy用】業種シート</t>
    <phoneticPr fontId="3"/>
  </si>
  <si>
    <t>非表示</t>
    <rPh sb="0" eb="3">
      <t>ヒヒョウジ</t>
    </rPh>
    <phoneticPr fontId="3"/>
  </si>
  <si>
    <t>○</t>
    <phoneticPr fontId="3"/>
  </si>
  <si>
    <t>00000112</t>
    <phoneticPr fontId="3"/>
  </si>
  <si>
    <t>必要</t>
    <phoneticPr fontId="4"/>
  </si>
  <si>
    <t>選択してください</t>
  </si>
  <si>
    <t>非表示</t>
    <rPh sb="0" eb="3">
      <t>ヒヒョウジ</t>
    </rPh>
    <phoneticPr fontId="3"/>
  </si>
  <si>
    <t>申請者（部署・氏名）</t>
    <rPh sb="0" eb="3">
      <t>シンセイシャ</t>
    </rPh>
    <rPh sb="4" eb="6">
      <t>ブショ</t>
    </rPh>
    <rPh sb="7" eb="9">
      <t>シメイ</t>
    </rPh>
    <phoneticPr fontId="4"/>
  </si>
  <si>
    <t>VEGA3000専用　POS連動ケーブル（3m）</t>
    <phoneticPr fontId="3"/>
  </si>
  <si>
    <t>10701</t>
    <phoneticPr fontId="3"/>
  </si>
  <si>
    <t>10702</t>
    <phoneticPr fontId="3"/>
  </si>
  <si>
    <t>10801</t>
    <phoneticPr fontId="3"/>
  </si>
  <si>
    <t>10802</t>
    <phoneticPr fontId="3"/>
  </si>
  <si>
    <t>【台数】VEGA3000：V3C Touch</t>
  </si>
  <si>
    <t>【台数】VEGA3000：V3C Touch　LTE</t>
  </si>
  <si>
    <t>【台数】VEGA3000：V3M Touch</t>
  </si>
  <si>
    <t>【台数】VEGA3000：V3P Touch</t>
  </si>
  <si>
    <t>数字2桁</t>
    <phoneticPr fontId="3"/>
  </si>
  <si>
    <t>業種区分</t>
    <phoneticPr fontId="3"/>
  </si>
  <si>
    <t>地区コード</t>
    <phoneticPr fontId="3"/>
  </si>
  <si>
    <t>1：物販、2：飲食、3：宿泊、4：旅行、5：その他</t>
    <phoneticPr fontId="3"/>
  </si>
  <si>
    <t>POS連動申込有無</t>
    <phoneticPr fontId="3"/>
  </si>
  <si>
    <t>SIM申込有無</t>
    <phoneticPr fontId="3"/>
  </si>
  <si>
    <t>POS連動ケーブル（1m）</t>
    <phoneticPr fontId="3"/>
  </si>
  <si>
    <t>POS連動ケーブル（3m）</t>
    <phoneticPr fontId="3"/>
  </si>
  <si>
    <t>シガーアダプター</t>
    <phoneticPr fontId="3"/>
  </si>
  <si>
    <t>交通系電子マネー</t>
    <phoneticPr fontId="3"/>
  </si>
  <si>
    <t>1:包括、2:直接、3:交通系電子マネー西武鉄道</t>
    <phoneticPr fontId="3"/>
  </si>
  <si>
    <t>精算先コード</t>
    <phoneticPr fontId="3"/>
  </si>
  <si>
    <t>申込経路</t>
    <phoneticPr fontId="3"/>
  </si>
  <si>
    <t>楽天Edy電子マネー</t>
    <phoneticPr fontId="3"/>
  </si>
  <si>
    <t>業種ID</t>
    <phoneticPr fontId="3"/>
  </si>
  <si>
    <t>都道府県コード</t>
    <phoneticPr fontId="3"/>
  </si>
  <si>
    <t>法人ID</t>
    <phoneticPr fontId="3"/>
  </si>
  <si>
    <t>支払先ID</t>
    <phoneticPr fontId="3"/>
  </si>
  <si>
    <t>手数料ID</t>
    <phoneticPr fontId="3"/>
  </si>
  <si>
    <t>加盟店ストラクチャID</t>
    <phoneticPr fontId="3"/>
  </si>
  <si>
    <t>交通系電子マネー</t>
    <phoneticPr fontId="3"/>
  </si>
  <si>
    <t>テキスト全角20文字</t>
    <phoneticPr fontId="3"/>
  </si>
  <si>
    <t>数字8桁</t>
    <phoneticPr fontId="3"/>
  </si>
  <si>
    <t>3：宿泊</t>
    <phoneticPr fontId="3"/>
  </si>
  <si>
    <t>1：物販</t>
    <phoneticPr fontId="3"/>
  </si>
  <si>
    <t>4：旅行</t>
    <phoneticPr fontId="3"/>
  </si>
  <si>
    <t>5：その他</t>
    <phoneticPr fontId="3"/>
  </si>
  <si>
    <t>5：その他</t>
    <phoneticPr fontId="3"/>
  </si>
  <si>
    <t>5：その他</t>
    <phoneticPr fontId="3"/>
  </si>
  <si>
    <t>5：その他</t>
    <phoneticPr fontId="3"/>
  </si>
  <si>
    <t>5：その他</t>
    <phoneticPr fontId="3"/>
  </si>
  <si>
    <t>2YS</t>
  </si>
  <si>
    <t>2YT</t>
  </si>
  <si>
    <t>2YU</t>
  </si>
  <si>
    <t>2YV</t>
  </si>
  <si>
    <t>2YW</t>
  </si>
  <si>
    <t>2YX</t>
  </si>
  <si>
    <t>2YY</t>
  </si>
  <si>
    <t>2Z1</t>
  </si>
  <si>
    <t>2Z3</t>
  </si>
  <si>
    <t>302</t>
  </si>
  <si>
    <t>303</t>
  </si>
  <si>
    <t>304</t>
  </si>
  <si>
    <t>305</t>
  </si>
  <si>
    <t>306</t>
  </si>
  <si>
    <t>307</t>
  </si>
  <si>
    <t>交通系IC</t>
    <rPh sb="0" eb="2">
      <t>コウツウ</t>
    </rPh>
    <rPh sb="2" eb="3">
      <t>ケイ</t>
    </rPh>
    <phoneticPr fontId="3"/>
  </si>
  <si>
    <t>↓業種区分（読み替え）</t>
    <rPh sb="6" eb="7">
      <t>ヨ</t>
    </rPh>
    <rPh sb="8" eb="9">
      <t>カ</t>
    </rPh>
    <phoneticPr fontId="3"/>
  </si>
  <si>
    <t>↓トドウフケンカナ</t>
    <phoneticPr fontId="3"/>
  </si>
  <si>
    <t>POS連動申込</t>
    <rPh sb="3" eb="5">
      <t>レンドウ</t>
    </rPh>
    <rPh sb="5" eb="7">
      <t>モウシコミ</t>
    </rPh>
    <phoneticPr fontId="3"/>
  </si>
  <si>
    <t>SIM申込</t>
    <rPh sb="3" eb="5">
      <t>モウシコミ</t>
    </rPh>
    <phoneticPr fontId="3"/>
  </si>
  <si>
    <t>レジャー　フィットネスクラブ・スポーツスクール</t>
    <phoneticPr fontId="4"/>
  </si>
  <si>
    <t xml:space="preserve"> </t>
    <phoneticPr fontId="3"/>
  </si>
  <si>
    <t>営業記載用（保護なし、書式設定なし）</t>
    <rPh sb="0" eb="2">
      <t>エイギョウ</t>
    </rPh>
    <rPh sb="2" eb="4">
      <t>キサイ</t>
    </rPh>
    <rPh sb="4" eb="5">
      <t>ヨウ</t>
    </rPh>
    <rPh sb="6" eb="8">
      <t>ホゴ</t>
    </rPh>
    <rPh sb="11" eb="13">
      <t>ショシキ</t>
    </rPh>
    <rPh sb="13" eb="15">
      <t>セッテイ</t>
    </rPh>
    <phoneticPr fontId="3"/>
  </si>
  <si>
    <t>通信会社：</t>
    <rPh sb="0" eb="2">
      <t>ツウシン</t>
    </rPh>
    <rPh sb="2" eb="4">
      <t>カイシャ</t>
    </rPh>
    <phoneticPr fontId="3"/>
  </si>
  <si>
    <t>docomo</t>
  </si>
  <si>
    <t>交通系電子マネー</t>
  </si>
  <si>
    <t>楽天Edy電子マネー</t>
  </si>
  <si>
    <t>107001</t>
  </si>
  <si>
    <t>108001</t>
  </si>
  <si>
    <t>10801</t>
    <phoneticPr fontId="3"/>
  </si>
  <si>
    <t>5566</t>
    <phoneticPr fontId="3"/>
  </si>
  <si>
    <t>港</t>
    <rPh sb="0" eb="1">
      <t>ミナト</t>
    </rPh>
    <phoneticPr fontId="3"/>
  </si>
  <si>
    <t>東</t>
    <rPh sb="0" eb="1">
      <t>ヒガシ</t>
    </rPh>
    <phoneticPr fontId="3"/>
  </si>
  <si>
    <t>サービス　一般病院（入院施設有り）</t>
    <phoneticPr fontId="4"/>
  </si>
  <si>
    <t>申込年月日から2ヵ月以降の日付をご記入ください。お申し込み状況によってはご希望に沿えない場合がございます。</t>
    <phoneticPr fontId="3"/>
  </si>
  <si>
    <t>0：無　、1：有</t>
    <phoneticPr fontId="3"/>
  </si>
  <si>
    <t>端末決済利用料</t>
    <rPh sb="0" eb="2">
      <t>タンマツ</t>
    </rPh>
    <rPh sb="2" eb="4">
      <t>ケッサイ</t>
    </rPh>
    <rPh sb="4" eb="7">
      <t>リヨウリョウ</t>
    </rPh>
    <phoneticPr fontId="4"/>
  </si>
  <si>
    <t>iD</t>
    <phoneticPr fontId="3"/>
  </si>
  <si>
    <t>WAON</t>
  </si>
  <si>
    <t>WAON</t>
    <phoneticPr fontId="3"/>
  </si>
  <si>
    <t>nanaco</t>
  </si>
  <si>
    <t>nanaco</t>
    <phoneticPr fontId="3"/>
  </si>
  <si>
    <t>iD</t>
  </si>
  <si>
    <t>10901</t>
  </si>
  <si>
    <t>10902</t>
  </si>
  <si>
    <t>11001</t>
  </si>
  <si>
    <t>11002</t>
  </si>
  <si>
    <t>11101</t>
  </si>
  <si>
    <t>11102</t>
  </si>
  <si>
    <t>2YZ</t>
  </si>
  <si>
    <t>10602</t>
  </si>
  <si>
    <t>QUICPay取次希望</t>
  </si>
  <si>
    <t>SMCC（nanaco）</t>
  </si>
  <si>
    <t>nanacoセブンG識別</t>
  </si>
  <si>
    <t>0:ｾﾌﾞﾝG以外、1:ｾﾌﾞﾝG店舗</t>
    <phoneticPr fontId="3"/>
  </si>
  <si>
    <t>332</t>
  </si>
  <si>
    <t>109001</t>
  </si>
  <si>
    <t>110001</t>
  </si>
  <si>
    <t>111001</t>
  </si>
  <si>
    <t>01：標準Ⅰ</t>
    <rPh sb="3" eb="5">
      <t>ヒョウジュン</t>
    </rPh>
    <phoneticPr fontId="3"/>
  </si>
  <si>
    <t>02：標準Ⅱ</t>
    <rPh sb="3" eb="5">
      <t>ヒョウジュン</t>
    </rPh>
    <phoneticPr fontId="3"/>
  </si>
  <si>
    <t>03：大規模物販Ⅰ</t>
    <rPh sb="3" eb="6">
      <t>ダイキボ</t>
    </rPh>
    <rPh sb="6" eb="8">
      <t>ブッパン</t>
    </rPh>
    <phoneticPr fontId="3"/>
  </si>
  <si>
    <t>04：大規模物販Ⅱ</t>
    <rPh sb="3" eb="6">
      <t>ダイキボ</t>
    </rPh>
    <rPh sb="6" eb="8">
      <t>ブッパン</t>
    </rPh>
    <phoneticPr fontId="3"/>
  </si>
  <si>
    <t>05：飲食チェーンⅠ</t>
    <rPh sb="3" eb="5">
      <t>インショク</t>
    </rPh>
    <phoneticPr fontId="3"/>
  </si>
  <si>
    <t>06：飲食チェーンⅡ</t>
    <rPh sb="3" eb="5">
      <t>インショク</t>
    </rPh>
    <phoneticPr fontId="3"/>
  </si>
  <si>
    <t>07：飲食チェーンⅢ</t>
    <rPh sb="3" eb="5">
      <t>インショク</t>
    </rPh>
    <phoneticPr fontId="3"/>
  </si>
  <si>
    <t>08：ホテルⅠ</t>
    <phoneticPr fontId="3"/>
  </si>
  <si>
    <t>09：ホテルⅡ</t>
    <phoneticPr fontId="3"/>
  </si>
  <si>
    <t>10：テーマパークⅠ</t>
    <phoneticPr fontId="3"/>
  </si>
  <si>
    <t>11：屋内遊戯施設Ⅰ</t>
    <rPh sb="3" eb="5">
      <t>オクナイ</t>
    </rPh>
    <rPh sb="5" eb="7">
      <t>ユウギ</t>
    </rPh>
    <rPh sb="7" eb="9">
      <t>シセツ</t>
    </rPh>
    <phoneticPr fontId="3"/>
  </si>
  <si>
    <t>12：屋内遊戯施設Ⅱ</t>
    <rPh sb="3" eb="5">
      <t>オクナイ</t>
    </rPh>
    <rPh sb="5" eb="7">
      <t>ユウギ</t>
    </rPh>
    <rPh sb="7" eb="9">
      <t>シセツ</t>
    </rPh>
    <phoneticPr fontId="3"/>
  </si>
  <si>
    <t>13：自動販売機Ⅰ</t>
    <rPh sb="3" eb="5">
      <t>ジドウ</t>
    </rPh>
    <rPh sb="5" eb="8">
      <t>ハンバイキ</t>
    </rPh>
    <phoneticPr fontId="3"/>
  </si>
  <si>
    <t>14：自動販売機Ⅱ</t>
    <rPh sb="3" eb="5">
      <t>ジドウ</t>
    </rPh>
    <rPh sb="5" eb="8">
      <t>ハンバイキ</t>
    </rPh>
    <phoneticPr fontId="3"/>
  </si>
  <si>
    <t>15：自動販売機Ⅲ</t>
    <rPh sb="3" eb="5">
      <t>ジドウ</t>
    </rPh>
    <rPh sb="5" eb="8">
      <t>ハンバイキ</t>
    </rPh>
    <phoneticPr fontId="3"/>
  </si>
  <si>
    <t>16：駐車場・ロッカー</t>
    <rPh sb="3" eb="6">
      <t>チュウシャジョウ</t>
    </rPh>
    <phoneticPr fontId="3"/>
  </si>
  <si>
    <t>17：タクシーⅠ</t>
    <phoneticPr fontId="3"/>
  </si>
  <si>
    <t>18：タクシーⅡ</t>
    <phoneticPr fontId="3"/>
  </si>
  <si>
    <t>19：タクシーⅢ</t>
    <phoneticPr fontId="3"/>
  </si>
  <si>
    <t>20：旅行代理店</t>
    <rPh sb="3" eb="5">
      <t>リョコウ</t>
    </rPh>
    <rPh sb="5" eb="7">
      <t>ダイリ</t>
    </rPh>
    <rPh sb="7" eb="8">
      <t>テン</t>
    </rPh>
    <phoneticPr fontId="3"/>
  </si>
  <si>
    <t>21：航空会社</t>
    <rPh sb="3" eb="5">
      <t>コウクウ</t>
    </rPh>
    <rPh sb="5" eb="7">
      <t>カイシャ</t>
    </rPh>
    <phoneticPr fontId="3"/>
  </si>
  <si>
    <t>22：バス・船舶</t>
    <rPh sb="6" eb="8">
      <t>センパク</t>
    </rPh>
    <phoneticPr fontId="3"/>
  </si>
  <si>
    <t>23：チケット販売</t>
    <rPh sb="7" eb="9">
      <t>ハンバイ</t>
    </rPh>
    <phoneticPr fontId="3"/>
  </si>
  <si>
    <t>●iD業種</t>
    <rPh sb="3" eb="5">
      <t>ギョウシュ</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</si>
  <si>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</si>
  <si>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　</t>
    <phoneticPr fontId="3"/>
  </si>
  <si>
    <t>東京</t>
    <rPh sb="0" eb="2">
      <t>トウキョウ</t>
    </rPh>
    <phoneticPr fontId="3"/>
  </si>
  <si>
    <t>太郎</t>
    <rPh sb="0" eb="2">
      <t>タロウ</t>
    </rPh>
    <phoneticPr fontId="3"/>
  </si>
  <si>
    <t>001065</t>
    <phoneticPr fontId="3"/>
  </si>
  <si>
    <t>一部決済NG時申込</t>
    <phoneticPr fontId="3"/>
  </si>
  <si>
    <t>0：希望しない　1：希望する</t>
    <phoneticPr fontId="3"/>
  </si>
  <si>
    <t>End</t>
  </si>
  <si>
    <t>←中華系有無(記入シート2)</t>
    <rPh sb="1" eb="3">
      <t>チュウカ</t>
    </rPh>
    <rPh sb="3" eb="4">
      <t>ケイ</t>
    </rPh>
    <rPh sb="4" eb="6">
      <t>ウム</t>
    </rPh>
    <rPh sb="7" eb="9">
      <t>キニュウ</t>
    </rPh>
    <phoneticPr fontId="3"/>
  </si>
  <si>
    <t>フリガナ</t>
    <phoneticPr fontId="4"/>
  </si>
  <si>
    <t>〶</t>
    <phoneticPr fontId="4"/>
  </si>
  <si>
    <t>-</t>
    <phoneticPr fontId="4"/>
  </si>
  <si>
    <t>ヨコハマシ</t>
    <phoneticPr fontId="3"/>
  </si>
  <si>
    <t>店舗名</t>
    <rPh sb="0" eb="2">
      <t>テンポ</t>
    </rPh>
    <rPh sb="2" eb="3">
      <t>メイ</t>
    </rPh>
    <phoneticPr fontId="4"/>
  </si>
  <si>
    <t>店舗名 アルファベット表記</t>
    <rPh sb="0" eb="2">
      <t>テンポ</t>
    </rPh>
    <rPh sb="2" eb="3">
      <t>メイ</t>
    </rPh>
    <rPh sb="11" eb="13">
      <t>ヒョウキ</t>
    </rPh>
    <phoneticPr fontId="4"/>
  </si>
  <si>
    <t>所在地
(中国語表記)</t>
    <rPh sb="5" eb="8">
      <t>チュウゴクゴ</t>
    </rPh>
    <rPh sb="8" eb="10">
      <t>ヒョウキ</t>
    </rPh>
    <phoneticPr fontId="3"/>
  </si>
  <si>
    <t>02：催事販売</t>
  </si>
  <si>
    <t>03：訪問販売</t>
  </si>
  <si>
    <t>04：移動販売（タクシー含）</t>
  </si>
  <si>
    <t>05：電話勧誘販売</t>
  </si>
  <si>
    <t>06：連鎖販売</t>
  </si>
  <si>
    <t>07：その他（右欄にテキストでご記入ください）</t>
  </si>
  <si>
    <t>●クレジット用販売形態</t>
    <rPh sb="6" eb="7">
      <t>ヨウ</t>
    </rPh>
    <rPh sb="7" eb="11">
      <t>ハンバイケイタイ</t>
    </rPh>
    <phoneticPr fontId="3"/>
  </si>
  <si>
    <t>01</t>
    <phoneticPr fontId="3"/>
  </si>
  <si>
    <t>05：その他（右欄にテキストでご記入ください）</t>
  </si>
  <si>
    <t>●PayPay用販売形態</t>
    <rPh sb="7" eb="8">
      <t>ヨウ</t>
    </rPh>
    <rPh sb="8" eb="10">
      <t>ハンバイ</t>
    </rPh>
    <rPh sb="10" eb="12">
      <t>ケイタイ</t>
    </rPh>
    <phoneticPr fontId="3"/>
  </si>
  <si>
    <t>01：店舗・宅配</t>
  </si>
  <si>
    <t>02：屋台・機内・社内・移動販売</t>
  </si>
  <si>
    <t>04：電話勧誘販売</t>
  </si>
  <si>
    <t>05：連鎖販売</t>
  </si>
  <si>
    <t>初期費用
(非課税)</t>
  </si>
  <si>
    <t>月額固定費
(非課税)</t>
  </si>
  <si>
    <t>手数料
(非課税)</t>
  </si>
  <si>
    <t>決済サービス
利用料(非課税)</t>
  </si>
  <si>
    <t>トランザクション費
(非課税)</t>
  </si>
  <si>
    <t>SBPS使用欄</t>
    <phoneticPr fontId="3"/>
  </si>
  <si>
    <t>初期費用
(税抜)</t>
    <rPh sb="6" eb="8">
      <t>ゼイヌキ</t>
    </rPh>
    <phoneticPr fontId="3"/>
  </si>
  <si>
    <t>月額固定費
(税抜)</t>
    <rPh sb="7" eb="9">
      <t>ゼイヌキ</t>
    </rPh>
    <phoneticPr fontId="3"/>
  </si>
  <si>
    <t>手数料
(税抜)</t>
    <rPh sb="5" eb="7">
      <t>ゼイヌキ</t>
    </rPh>
    <phoneticPr fontId="3"/>
  </si>
  <si>
    <t>決済サービス
利用料(税抜)</t>
    <rPh sb="11" eb="13">
      <t>ゼイヌキ</t>
    </rPh>
    <phoneticPr fontId="3"/>
  </si>
  <si>
    <t>トランザクション費
(税抜)</t>
    <rPh sb="11" eb="13">
      <t>ゼイヌキ</t>
    </rPh>
    <phoneticPr fontId="3"/>
  </si>
  <si>
    <t>銀聯</t>
    <rPh sb="0" eb="2">
      <t>ギンレン</t>
    </rPh>
    <phoneticPr fontId="3"/>
  </si>
  <si>
    <t>申込</t>
    <phoneticPr fontId="4"/>
  </si>
  <si>
    <t>入金経路</t>
    <phoneticPr fontId="4"/>
  </si>
  <si>
    <t>SBPS使用欄</t>
    <phoneticPr fontId="3"/>
  </si>
  <si>
    <t>←中華系有無</t>
    <rPh sb="1" eb="3">
      <t>チュウカ</t>
    </rPh>
    <rPh sb="3" eb="4">
      <t>ケイ</t>
    </rPh>
    <rPh sb="4" eb="6">
      <t>ウム</t>
    </rPh>
    <phoneticPr fontId="3"/>
  </si>
  <si>
    <t>93201</t>
  </si>
  <si>
    <t>WeChat Pay</t>
    <phoneticPr fontId="3"/>
  </si>
  <si>
    <t>93101</t>
  </si>
  <si>
    <t>～</t>
    <phoneticPr fontId="3"/>
  </si>
  <si>
    <t>00000</t>
  </si>
  <si>
    <t>～</t>
    <phoneticPr fontId="3"/>
  </si>
  <si>
    <t>←国内系有無</t>
    <rPh sb="1" eb="3">
      <t>コクナイ</t>
    </rPh>
    <rPh sb="3" eb="4">
      <t>ケイ</t>
    </rPh>
    <rPh sb="4" eb="6">
      <t>ウム</t>
    </rPh>
    <phoneticPr fontId="3"/>
  </si>
  <si>
    <t>PayPay</t>
    <phoneticPr fontId="3"/>
  </si>
  <si>
    <t>お取り扱い商品</t>
    <rPh sb="1" eb="2">
      <t>ト</t>
    </rPh>
    <rPh sb="3" eb="4">
      <t>アツカ</t>
    </rPh>
    <rPh sb="5" eb="7">
      <t>ショウヒン</t>
    </rPh>
    <phoneticPr fontId="3"/>
  </si>
  <si>
    <t>商品1</t>
    <rPh sb="0" eb="2">
      <t>ショウヒン</t>
    </rPh>
    <phoneticPr fontId="3"/>
  </si>
  <si>
    <t>0000:選択してください</t>
    <rPh sb="5" eb="7">
      <t>センタク</t>
    </rPh>
    <phoneticPr fontId="3"/>
  </si>
  <si>
    <t>商品2</t>
    <rPh sb="0" eb="2">
      <t>ショウヒン</t>
    </rPh>
    <phoneticPr fontId="3"/>
  </si>
  <si>
    <t>表示しない</t>
    <rPh sb="0" eb="2">
      <t>ヒョウジ</t>
    </rPh>
    <phoneticPr fontId="3"/>
  </si>
  <si>
    <t>←PayPay判定</t>
    <rPh sb="7" eb="9">
      <t>ハンテイ</t>
    </rPh>
    <phoneticPr fontId="3"/>
  </si>
  <si>
    <t>←判定</t>
    <rPh sb="1" eb="3">
      <t>ハンテイ</t>
    </rPh>
    <phoneticPr fontId="3"/>
  </si>
  <si>
    <t>●PayPay取扱商品</t>
    <rPh sb="7" eb="9">
      <t>トリアツカイ</t>
    </rPh>
    <rPh sb="9" eb="11">
      <t>ショウヒン</t>
    </rPh>
    <phoneticPr fontId="3"/>
  </si>
  <si>
    <t>交通</t>
    <phoneticPr fontId="3"/>
  </si>
  <si>
    <t>選択してください</t>
    <phoneticPr fontId="3"/>
  </si>
  <si>
    <t>●入金経路</t>
    <rPh sb="1" eb="3">
      <t>ニュウキン</t>
    </rPh>
    <rPh sb="3" eb="5">
      <t>ケイロ</t>
    </rPh>
    <phoneticPr fontId="3"/>
  </si>
  <si>
    <t>決済機関直接</t>
  </si>
  <si>
    <t>SMCC（iD）</t>
  </si>
  <si>
    <t>iD業種</t>
    <rPh sb="2" eb="4">
      <t>ギョウシュ</t>
    </rPh>
    <phoneticPr fontId="2"/>
  </si>
  <si>
    <t>314</t>
  </si>
  <si>
    <t>申込区分</t>
    <phoneticPr fontId="3"/>
  </si>
  <si>
    <t>規約同意</t>
    <phoneticPr fontId="4"/>
  </si>
  <si>
    <t>←法人/個人</t>
    <phoneticPr fontId="3"/>
  </si>
  <si>
    <t>法人</t>
    <rPh sb="0" eb="2">
      <t>ホウジン</t>
    </rPh>
    <phoneticPr fontId="3"/>
  </si>
  <si>
    <t>個人事業主</t>
    <phoneticPr fontId="3"/>
  </si>
  <si>
    <t>新規申込</t>
    <rPh sb="0" eb="2">
      <t>シンキ</t>
    </rPh>
    <rPh sb="2" eb="4">
      <t>モウシコミ</t>
    </rPh>
    <phoneticPr fontId="3"/>
  </si>
  <si>
    <t>店舗追加</t>
    <rPh sb="0" eb="2">
      <t>テンポ</t>
    </rPh>
    <rPh sb="2" eb="4">
      <t>ツイカ</t>
    </rPh>
    <phoneticPr fontId="3"/>
  </si>
  <si>
    <t>←新規/追加</t>
    <rPh sb="1" eb="3">
      <t>シンキ</t>
    </rPh>
    <rPh sb="4" eb="6">
      <t>ツイカ</t>
    </rPh>
    <phoneticPr fontId="3"/>
  </si>
  <si>
    <t>←規約同意</t>
    <rPh sb="1" eb="3">
      <t>キヤク</t>
    </rPh>
    <rPh sb="3" eb="5">
      <t>ドウイ</t>
    </rPh>
    <phoneticPr fontId="3"/>
  </si>
  <si>
    <t>また、当社および当社の役員等が、暴力団・暴力団構成員等の反社会的勢力に該当しないことを確約いたします。</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</si>
  <si>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</si>
  <si>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←Yes/No</t>
    <phoneticPr fontId="3"/>
  </si>
  <si>
    <t>・SBPS決済サービス加盟店規約
　└ Alipay決済サービス規約
　└ WeChat Pay決済サービス規約
　└ 銀聯 決済サービス規約
　└ PayPay決済サービス規約
　└ d払い決済サービス規約
　└ SBPS決済支援サービス利用規約</t>
    <phoneticPr fontId="3"/>
  </si>
  <si>
    <t>フリガナ</t>
    <phoneticPr fontId="3"/>
  </si>
  <si>
    <t>●交通系精算先コード</t>
    <phoneticPr fontId="3"/>
  </si>
  <si>
    <t>PASMO（西武）1</t>
    <phoneticPr fontId="3"/>
  </si>
  <si>
    <t>PASMO（西武）2</t>
    <phoneticPr fontId="3"/>
  </si>
  <si>
    <t>9999995</t>
  </si>
  <si>
    <t>SBグループ担当</t>
  </si>
  <si>
    <t>初期費用(税抜)</t>
    <rPh sb="0" eb="2">
      <t>ショキ</t>
    </rPh>
    <rPh sb="2" eb="4">
      <t>ヒヨウ</t>
    </rPh>
    <rPh sb="5" eb="6">
      <t>ゼイ</t>
    </rPh>
    <rPh sb="6" eb="7">
      <t>ヌ</t>
    </rPh>
    <phoneticPr fontId="3"/>
  </si>
  <si>
    <t>月額固定費(税抜)</t>
    <rPh sb="0" eb="2">
      <t>ゲツガク</t>
    </rPh>
    <rPh sb="2" eb="5">
      <t>コテイヒ</t>
    </rPh>
    <rPh sb="6" eb="7">
      <t>ゼイ</t>
    </rPh>
    <rPh sb="7" eb="8">
      <t>ヌ</t>
    </rPh>
    <phoneticPr fontId="3"/>
  </si>
  <si>
    <t>早期・複数回入金オプション</t>
    <phoneticPr fontId="3"/>
  </si>
  <si>
    <t>←公式アカウント判定</t>
    <rPh sb="1" eb="3">
      <t>コウシキ</t>
    </rPh>
    <rPh sb="8" eb="10">
      <t>ハンテイ</t>
    </rPh>
    <phoneticPr fontId="3"/>
  </si>
  <si>
    <t>00000</t>
    <phoneticPr fontId="3"/>
  </si>
  <si>
    <t>d払い</t>
    <phoneticPr fontId="3"/>
  </si>
  <si>
    <t>サイトID：</t>
    <phoneticPr fontId="3"/>
  </si>
  <si>
    <t>業 態</t>
    <rPh sb="0" eb="1">
      <t>ギョウ</t>
    </rPh>
    <rPh sb="2" eb="3">
      <t>タイ</t>
    </rPh>
    <phoneticPr fontId="3"/>
  </si>
  <si>
    <t>00:選択してください</t>
    <rPh sb="3" eb="5">
      <t>センタク</t>
    </rPh>
    <phoneticPr fontId="3"/>
  </si>
  <si>
    <t>←d払い判定</t>
    <rPh sb="4" eb="6">
      <t>ハンテイ</t>
    </rPh>
    <phoneticPr fontId="3"/>
  </si>
  <si>
    <t>LINE Pay</t>
    <phoneticPr fontId="3"/>
  </si>
  <si>
    <t>00000</t>
    <phoneticPr fontId="3"/>
  </si>
  <si>
    <t>02:スーパーマーケット・GMS</t>
  </si>
  <si>
    <t>●d払い業態</t>
    <rPh sb="2" eb="3">
      <t>ハラ</t>
    </rPh>
    <rPh sb="4" eb="6">
      <t>ギョウタイ</t>
    </rPh>
    <phoneticPr fontId="3"/>
  </si>
  <si>
    <t>01:コンビニエンスストア</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</si>
  <si>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</si>
  <si>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</si>
  <si>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</si>
  <si>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</si>
  <si>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</si>
  <si>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</si>
  <si>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</si>
  <si>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</si>
  <si>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</si>
  <si>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</si>
  <si>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</si>
  <si>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</si>
  <si>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</si>
  <si>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</si>
  <si>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</si>
  <si>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</si>
  <si>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</si>
  <si>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</si>
  <si>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</si>
  <si>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</si>
  <si>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</si>
  <si>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</si>
  <si>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</si>
  <si>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</si>
  <si>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</si>
  <si>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</si>
  <si>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</si>
  <si>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</si>
  <si>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t>
    <phoneticPr fontId="3"/>
  </si>
  <si>
    <t>PayPay</t>
    <phoneticPr fontId="3"/>
  </si>
  <si>
    <t>Alipay</t>
  </si>
  <si>
    <t>WeChat Pay</t>
  </si>
  <si>
    <t>PayPay</t>
  </si>
  <si>
    <t>d払い</t>
  </si>
  <si>
    <t>LINE Pay</t>
  </si>
  <si>
    <t>セブン・ペイ</t>
  </si>
  <si>
    <t>メルペイ</t>
  </si>
  <si>
    <t>Origami Pay</t>
  </si>
  <si>
    <t>Amazon Pay</t>
  </si>
  <si>
    <t>Sub Merchat ID</t>
  </si>
  <si>
    <t>931001</t>
  </si>
  <si>
    <t>931002</t>
  </si>
  <si>
    <t>932001</t>
  </si>
  <si>
    <t>935001</t>
  </si>
  <si>
    <t>936001</t>
  </si>
  <si>
    <t>937001</t>
  </si>
  <si>
    <t>938001</t>
  </si>
  <si>
    <t>939001</t>
  </si>
  <si>
    <t>942001</t>
  </si>
  <si>
    <t>PASMO（西武）1</t>
  </si>
  <si>
    <t>ブランド名</t>
  </si>
  <si>
    <t>申込経路</t>
    <rPh sb="0" eb="2">
      <t>モウシコミ</t>
    </rPh>
    <rPh sb="2" eb="4">
      <t>ケイロ</t>
    </rPh>
    <phoneticPr fontId="2"/>
  </si>
  <si>
    <t>店舗所在地</t>
    <rPh sb="0" eb="5">
      <t>テンポショザイチ</t>
    </rPh>
    <phoneticPr fontId="1"/>
  </si>
  <si>
    <t>ブランド名</t>
    <rPh sb="4" eb="5">
      <t>メイ</t>
    </rPh>
    <phoneticPr fontId="2"/>
  </si>
  <si>
    <t>販売形態</t>
  </si>
  <si>
    <t>取扱商品1</t>
  </si>
  <si>
    <t>取扱商品2</t>
  </si>
  <si>
    <t>Map表示</t>
  </si>
  <si>
    <t>事業展開店舗数</t>
  </si>
  <si>
    <t>PV2</t>
  </si>
  <si>
    <t>PV3</t>
  </si>
  <si>
    <t>PW2</t>
  </si>
  <si>
    <t>PW3</t>
  </si>
  <si>
    <t>93501</t>
  </si>
  <si>
    <t>PZ4</t>
  </si>
  <si>
    <t>PZ5</t>
  </si>
  <si>
    <t>93601</t>
  </si>
  <si>
    <t>Q07</t>
  </si>
  <si>
    <t>Q08</t>
  </si>
  <si>
    <t>Q09</t>
  </si>
  <si>
    <t>Q0A</t>
  </si>
  <si>
    <t>Q0B</t>
  </si>
  <si>
    <t>Q0C</t>
  </si>
  <si>
    <t>カブシキガイシャエスビーショウジ</t>
    <phoneticPr fontId="3"/>
  </si>
  <si>
    <t>105</t>
    <phoneticPr fontId="3"/>
  </si>
  <si>
    <t>0005</t>
    <phoneticPr fontId="3"/>
  </si>
  <si>
    <t>港区</t>
    <rPh sb="0" eb="2">
      <t>ミナトク</t>
    </rPh>
    <phoneticPr fontId="3"/>
  </si>
  <si>
    <t>東新橋</t>
    <rPh sb="0" eb="1">
      <t>ヒガシ</t>
    </rPh>
    <rPh sb="1" eb="3">
      <t>シンバシ</t>
    </rPh>
    <phoneticPr fontId="3"/>
  </si>
  <si>
    <t>１－２－３</t>
    <phoneticPr fontId="3"/>
  </si>
  <si>
    <t>03</t>
    <phoneticPr fontId="3"/>
  </si>
  <si>
    <t>1111</t>
    <phoneticPr fontId="3"/>
  </si>
  <si>
    <t>2222</t>
    <phoneticPr fontId="3"/>
  </si>
  <si>
    <t>電気通信事業</t>
    <phoneticPr fontId="3"/>
  </si>
  <si>
    <t>http://www.sbps.net/</t>
    <phoneticPr fontId="3"/>
  </si>
  <si>
    <t>1234567890123</t>
    <phoneticPr fontId="3"/>
  </si>
  <si>
    <t>トウキョウ</t>
    <phoneticPr fontId="3"/>
  </si>
  <si>
    <t>タロウ</t>
    <phoneticPr fontId="3"/>
  </si>
  <si>
    <t>代表取締役社長</t>
    <rPh sb="0" eb="7">
      <t>ダイヒョウトリシマリヤクシャチョウ</t>
    </rPh>
    <phoneticPr fontId="3"/>
  </si>
  <si>
    <t>東新橋</t>
    <rPh sb="0" eb="3">
      <t>ヒガシシンバシ</t>
    </rPh>
    <phoneticPr fontId="3"/>
  </si>
  <si>
    <t>105</t>
    <phoneticPr fontId="3"/>
  </si>
  <si>
    <t>0005</t>
    <phoneticPr fontId="3"/>
  </si>
  <si>
    <t>２－３－４</t>
    <phoneticPr fontId="3"/>
  </si>
  <si>
    <t>03</t>
    <phoneticPr fontId="3"/>
  </si>
  <si>
    <t>1111</t>
    <phoneticPr fontId="3"/>
  </si>
  <si>
    <t>4444</t>
    <phoneticPr fontId="3"/>
  </si>
  <si>
    <t>SBPSショップ　銀座店</t>
    <phoneticPr fontId="3"/>
  </si>
  <si>
    <t>SBPS SHOP GINZA</t>
    <phoneticPr fontId="3"/>
  </si>
  <si>
    <t>SBPSショップ</t>
    <phoneticPr fontId="3"/>
  </si>
  <si>
    <t>エスビーピーエスショップ　ギンザテン</t>
    <phoneticPr fontId="3"/>
  </si>
  <si>
    <t>エスビーピーエスショップ</t>
    <phoneticPr fontId="3"/>
  </si>
  <si>
    <t>104</t>
    <phoneticPr fontId="3"/>
  </si>
  <si>
    <t>0061</t>
    <phoneticPr fontId="3"/>
  </si>
  <si>
    <t>中央区</t>
    <rPh sb="0" eb="3">
      <t>チュウオウク</t>
    </rPh>
    <phoneticPr fontId="3"/>
  </si>
  <si>
    <t>銀座</t>
    <rPh sb="0" eb="2">
      <t>ギンザ</t>
    </rPh>
    <phoneticPr fontId="3"/>
  </si>
  <si>
    <t>１－１</t>
    <phoneticPr fontId="3"/>
  </si>
  <si>
    <t>东京都中央区银座１－１</t>
    <phoneticPr fontId="3"/>
  </si>
  <si>
    <t>3333</t>
    <phoneticPr fontId="3"/>
  </si>
  <si>
    <t>http://www.sbpsshopginza.net/</t>
    <phoneticPr fontId="3"/>
  </si>
  <si>
    <t>手機拍賣</t>
    <phoneticPr fontId="3"/>
  </si>
  <si>
    <t>携帯端末の販売及び端末付属のアクセサリー販売</t>
    <phoneticPr fontId="3"/>
  </si>
  <si>
    <t>携帯端末、付属アクセサリー</t>
    <phoneticPr fontId="3"/>
  </si>
  <si>
    <t>古物商許可証</t>
    <phoneticPr fontId="3"/>
  </si>
  <si>
    <t>666666</t>
    <phoneticPr fontId="3"/>
  </si>
  <si>
    <t>03：準拠予定なし</t>
  </si>
  <si>
    <t>カ）エスビーショウジ　ダイヒョウトリシマリヤクシャチョウ　トウキョウタロウ</t>
    <phoneticPr fontId="3"/>
  </si>
  <si>
    <t>株式会社SB商事　代表取締役社長　東京太郎</t>
    <phoneticPr fontId="3"/>
  </si>
  <si>
    <t>03</t>
    <phoneticPr fontId="3"/>
  </si>
  <si>
    <t>1122</t>
    <phoneticPr fontId="3"/>
  </si>
  <si>
    <t>3344</t>
    <phoneticPr fontId="3"/>
  </si>
  <si>
    <t>03</t>
    <phoneticPr fontId="3"/>
  </si>
  <si>
    <t>7788</t>
    <phoneticPr fontId="3"/>
  </si>
  <si>
    <t>taro@sb.ne.jp</t>
    <phoneticPr fontId="3"/>
  </si>
  <si>
    <t>jiro@sb.ne.jp</t>
    <phoneticPr fontId="3"/>
  </si>
  <si>
    <t>SBPS経由</t>
    <phoneticPr fontId="3"/>
  </si>
  <si>
    <t>楽天ペイ</t>
  </si>
  <si>
    <t>◆コード決済◆</t>
    <rPh sb="4" eb="6">
      <t>ケッサイ</t>
    </rPh>
    <phoneticPr fontId="4"/>
  </si>
  <si>
    <t>1626031</t>
  </si>
  <si>
    <t>笹野あかね</t>
  </si>
  <si>
    <t>1626033</t>
  </si>
  <si>
    <t>松本佳奈</t>
  </si>
  <si>
    <t>1626035</t>
  </si>
  <si>
    <t>安松孝</t>
  </si>
  <si>
    <t>1300134</t>
  </si>
  <si>
    <t>白川雅浩</t>
  </si>
  <si>
    <t>1301064</t>
  </si>
  <si>
    <t>西村幸司</t>
  </si>
  <si>
    <t>1602184</t>
  </si>
  <si>
    <t>駒井若菜</t>
  </si>
  <si>
    <t>1202896</t>
  </si>
  <si>
    <t>稲川忍</t>
  </si>
  <si>
    <t>非</t>
    <rPh sb="0" eb="1">
      <t>ヒ</t>
    </rPh>
    <phoneticPr fontId="3"/>
  </si>
  <si>
    <t>未使用</t>
    <rPh sb="0" eb="3">
      <t>ミシヨウ</t>
    </rPh>
    <phoneticPr fontId="3"/>
  </si>
  <si>
    <t>←d払い有無(記入シート2)</t>
    <rPh sb="2" eb="3">
      <t>ハラ</t>
    </rPh>
    <rPh sb="4" eb="6">
      <t>ウム</t>
    </rPh>
    <rPh sb="7" eb="9">
      <t>キニュウ</t>
    </rPh>
    <phoneticPr fontId="3"/>
  </si>
  <si>
    <t>←LINE Pay有無(記入シート2)</t>
    <rPh sb="9" eb="11">
      <t>ウム</t>
    </rPh>
    <rPh sb="12" eb="14">
      <t>キニュウ</t>
    </rPh>
    <phoneticPr fontId="3"/>
  </si>
  <si>
    <t>「端末決済サービス」に適用される下記規約の内容を確認し、承諾のうえ申し込みいたします。 
　・クレジットカード加盟店規約&lt;対面取引用&gt;
　・信用照会端末利用特約
　・銀聯カード加盟店特約
　・交通系電子マネー加盟店規約
　・楽天Edy決済加盟店規約
　・iD決済加盟店規約
　・WAON決済加盟店規約
　・nanaco決済加盟店規約
　・Anywhere利用規定
　　(https://www.linkprocessing.co.jp/terms/)</t>
    <phoneticPr fontId="4"/>
  </si>
  <si>
    <t>1000:小売</t>
  </si>
  <si>
    <t>1100:飲食</t>
  </si>
  <si>
    <t>1200:ビューティ・リラクゼーション</t>
  </si>
  <si>
    <t>1300:病院</t>
  </si>
  <si>
    <t>1400:スクール</t>
  </si>
  <si>
    <t>1500:サービス</t>
  </si>
  <si>
    <t>1600:娯楽</t>
  </si>
  <si>
    <t>1700:交通</t>
  </si>
  <si>
    <t>1800:行政・公共サービス</t>
  </si>
  <si>
    <t>1900:学校・教育機関</t>
  </si>
  <si>
    <t>コンビニ</t>
  </si>
  <si>
    <t>サービス</t>
  </si>
  <si>
    <t>交通</t>
  </si>
  <si>
    <t>公共サービス</t>
  </si>
  <si>
    <t>各種小売</t>
  </si>
  <si>
    <t>大規模小売店</t>
  </si>
  <si>
    <t>娯楽</t>
  </si>
  <si>
    <t>食品スーパー</t>
  </si>
  <si>
    <t>飲食</t>
  </si>
  <si>
    <t>小売</t>
  </si>
  <si>
    <t>ビューティ・リラクゼーション</t>
    <phoneticPr fontId="3"/>
  </si>
  <si>
    <t>病院</t>
  </si>
  <si>
    <t>スクール</t>
    <phoneticPr fontId="3"/>
  </si>
  <si>
    <t>交通</t>
    <phoneticPr fontId="3"/>
  </si>
  <si>
    <t>行政・公共サービス</t>
    <phoneticPr fontId="3"/>
  </si>
  <si>
    <t>学校・教育機関</t>
    <phoneticPr fontId="3"/>
  </si>
  <si>
    <t>選択してください</t>
    <phoneticPr fontId="3"/>
  </si>
  <si>
    <t>1001:コンビニ</t>
  </si>
  <si>
    <t>1101:飲食店・喫茶店</t>
  </si>
  <si>
    <t>1201:理容院・美容院（フリーランス）</t>
  </si>
  <si>
    <t>1301:病院・診療所など</t>
  </si>
  <si>
    <t>1401:学習塾・語学教室・パソコン教室・カルチャースクール</t>
  </si>
  <si>
    <t>1501:クリーニング（ハウスクリーニングを除く）</t>
  </si>
  <si>
    <t>1601:ゴルフ場</t>
  </si>
  <si>
    <t>1701:鉄道</t>
  </si>
  <si>
    <t>1801:行政サービス利用料・自治体納付金</t>
  </si>
  <si>
    <t>1901:乳幼児保育施設（月極）</t>
  </si>
  <si>
    <t>1002:食品スーパー　</t>
  </si>
  <si>
    <t>1102:居酒屋・パブ・バー</t>
  </si>
  <si>
    <t>1202:理容院・美容院（自社経営、フランチャイズ）</t>
  </si>
  <si>
    <t>1302:歯科医院・歯科診療所など</t>
  </si>
  <si>
    <t>1402:語学スクール（２か月を超え、かつ５万円を超える契約がない）</t>
  </si>
  <si>
    <t>1502:ハウスクリーニング</t>
  </si>
  <si>
    <t>1602:テーマパーク・遊園地・水族館・博物館</t>
  </si>
  <si>
    <t>1702:バス</t>
  </si>
  <si>
    <t>1802:水道料金</t>
  </si>
  <si>
    <t>1902:乳幼児保育施設（一時保育）</t>
  </si>
  <si>
    <t>1003:百貨店・GMS・ディスカウントストア・ホームセンター</t>
  </si>
  <si>
    <t>1103:ファーストフード</t>
  </si>
  <si>
    <t>1203:まつ毛エクステ</t>
  </si>
  <si>
    <t>1303:老人ホーム・介護施設</t>
  </si>
  <si>
    <t>1403:ビジネススキルを学ぶためのスクール（国家資格などの取得を目的としていない）</t>
  </si>
  <si>
    <t>1503:DPE・印刷・コピー</t>
  </si>
  <si>
    <t>1603:映画館・劇場・スポーツ観戦施設・チケット</t>
  </si>
  <si>
    <t>1703:タクシー（法人）</t>
  </si>
  <si>
    <t>1803:電気・ガス・NHK受信料</t>
  </si>
  <si>
    <t>1903:学童保育</t>
  </si>
  <si>
    <t>1004:食品販売店</t>
  </si>
  <si>
    <t>1204:美容整形・美容外科</t>
  </si>
  <si>
    <t>1404:ビジネススキルを学ぶためのスクール（国家資格などの取得を目的としている）</t>
  </si>
  <si>
    <t>1504:温泉・スパ・銭湯</t>
  </si>
  <si>
    <t>1704:タクシー（個人）</t>
  </si>
  <si>
    <t>1804:寄付</t>
  </si>
  <si>
    <t>1904:小学校・中学校・高等学校</t>
  </si>
  <si>
    <t>1005:酒屋・リカーショップ</t>
  </si>
  <si>
    <t>1205:フィットネスジム</t>
  </si>
  <si>
    <t>1405:ＩＴスキルを学ぶスクール（２か月を超え、かつ５万円を超える契約がある）</t>
  </si>
  <si>
    <t>1505:ホテル、旅館、簡易宿所</t>
  </si>
  <si>
    <t>1705:客船・フェリー</t>
  </si>
  <si>
    <t>1905:大学・短期大学・大学院</t>
  </si>
  <si>
    <t>1006:ファッション雑貨（古物の取扱いなし）</t>
  </si>
  <si>
    <t>1206:エステティックサロン（１か月を超え、かつ５万円を超える契約がある）</t>
  </si>
  <si>
    <t>1506:モーテル・ラブホテル</t>
  </si>
  <si>
    <t>1706:航空会社</t>
  </si>
  <si>
    <t>1906:専修学校（一般課程・高等課程・専門課程）</t>
  </si>
  <si>
    <t>1007:アパレルショップ（古物の取扱いなし）</t>
  </si>
  <si>
    <t>1207:エステティックサロン（１か月を超え、かつ５万円を超える契約がない）</t>
  </si>
  <si>
    <t>1507:旅行会社・旅行代理店</t>
  </si>
  <si>
    <t>1707:宅配便サービス</t>
  </si>
  <si>
    <t>1907:各種学校</t>
  </si>
  <si>
    <t>1008:鞄屋（古物の取扱いなし）</t>
  </si>
  <si>
    <t>1208:ネイル</t>
  </si>
  <si>
    <t>1508:電話・インターネット・プロバイダー</t>
  </si>
  <si>
    <t>1708:バイク便、軽自動車等による宅配便サービス</t>
  </si>
  <si>
    <t>1908:外国大学の日本校（学位取得が目的）</t>
  </si>
  <si>
    <t>1009:電気店・家電量販店（古物の取扱いなし）</t>
  </si>
  <si>
    <t>1209:あん摩・はり・きゆう・接骨・柔道整復・指圧・整骨院</t>
  </si>
  <si>
    <t>1509:自動車・バイクリース</t>
  </si>
  <si>
    <t>1709:引っ越しサービス</t>
  </si>
  <si>
    <t>1010:ベビー・乳幼児用製品の販売店（古物の取扱いなし）</t>
  </si>
  <si>
    <t>1210:リラク、足裏・リフレ、整体、カイロプラクティック（手技を使ったリラクゼーションを目的としたサロン）</t>
  </si>
  <si>
    <t>1510:レンタカー・レンタバイク（短期間レンタル）</t>
  </si>
  <si>
    <t>1011:家具・インテリアショップ（古物の取扱いなし）</t>
  </si>
  <si>
    <t>1511:パーキング</t>
  </si>
  <si>
    <t>1012:コンタクトレンズ販売店</t>
  </si>
  <si>
    <t>1512:車検、整備、修理</t>
  </si>
  <si>
    <t>1013:コンタクトレンズ以外の医療機器販売店（古物の取扱いなし）</t>
  </si>
  <si>
    <t>1513:各種修理</t>
  </si>
  <si>
    <t>1014:宝石・貴金属店（古物の取扱いなし）</t>
  </si>
  <si>
    <t>1514:住宅建設・リフォーム</t>
  </si>
  <si>
    <t>1015:時計・メガネ・カメラ</t>
  </si>
  <si>
    <t>1515:結婚相談業</t>
  </si>
  <si>
    <t>1016:ＣＤ・ＤＶＤ・ビデオ・レコードショップ（古物の取扱いなし）</t>
  </si>
  <si>
    <t>1516:マッチング・お見合い</t>
  </si>
  <si>
    <t>1017:玩具店（古物の取扱いなし）</t>
  </si>
  <si>
    <t>1517:結婚相談所</t>
  </si>
  <si>
    <t>1018:スポーツ用品店（古物の取扱いなし）</t>
  </si>
  <si>
    <t>1518:接客業</t>
  </si>
  <si>
    <t>1019:文房具店（古物の取扱いなし）</t>
  </si>
  <si>
    <t>1519:運転代行業</t>
  </si>
  <si>
    <t>1020:書店（古物の取扱いなし）</t>
  </si>
  <si>
    <t>1520:ペットショップ・動物病院</t>
  </si>
  <si>
    <t>1021:化粧品店</t>
  </si>
  <si>
    <t>1521:ペットショップ、ペットホテル、ペット美容院、動物病院</t>
  </si>
  <si>
    <t>1022:ドラッグストア</t>
  </si>
  <si>
    <t>1522:不動産賃貸・家賃</t>
  </si>
  <si>
    <t>1023:調剤薬局・漢方薬</t>
  </si>
  <si>
    <t>1523:賃貸仲介業（不動産屋など）</t>
  </si>
  <si>
    <t>1024:花・植木・農耕具・ペット</t>
  </si>
  <si>
    <t>1524:職業紹介</t>
  </si>
  <si>
    <t>1025:ガソリンスタンド</t>
  </si>
  <si>
    <t>●WeChatPayビジネスカテゴリ</t>
    <phoneticPr fontId="3"/>
  </si>
  <si>
    <t>1525:労働者派遣</t>
  </si>
  <si>
    <t>1026:ファッション雑貨（一部古物の取扱いあり）</t>
  </si>
  <si>
    <t>00:未選択</t>
    <rPh sb="3" eb="4">
      <t>ミ</t>
    </rPh>
    <rPh sb="4" eb="6">
      <t>センタク</t>
    </rPh>
    <phoneticPr fontId="3"/>
  </si>
  <si>
    <t>1526:医療相談、法律相談</t>
  </si>
  <si>
    <t>1027:アパレルショップ（一部古物の取扱いあり）</t>
  </si>
  <si>
    <t>01:靴・衣服</t>
  </si>
  <si>
    <t>1527:結婚式場</t>
  </si>
  <si>
    <t>1028:鞄屋（一部古物の取扱いあり）</t>
  </si>
  <si>
    <t>02:総合商店街</t>
  </si>
  <si>
    <t>1528:葬儀場</t>
  </si>
  <si>
    <t>1029:電気店・家電量販店（一部古物の取扱いあり）</t>
  </si>
  <si>
    <t>03:食べ物</t>
  </si>
  <si>
    <t>1529:アクテイビティ・スポーツ・レジャー</t>
  </si>
  <si>
    <t>1030:ベビー・乳幼児用製品の販売店（一部古物の取扱いあり）</t>
  </si>
  <si>
    <t>04:化粧品</t>
  </si>
  <si>
    <t>1530:競馬・競輪・競艇・オートレース・パチンコ・麻雀</t>
  </si>
  <si>
    <t>1031:家具・インテリアショップ（一部古物の取扱いあり）</t>
  </si>
  <si>
    <t>05:母子</t>
  </si>
  <si>
    <t>1532:保険・保険代理店</t>
  </si>
  <si>
    <t>1032:コンタクトレンズ以外の医療機器販売店（一部古物の取扱いあり）</t>
  </si>
  <si>
    <t>06:デジタル家電</t>
  </si>
  <si>
    <t>1033:宝石・貴金属店（一部古物の取扱いあり）</t>
  </si>
  <si>
    <t>07:物流</t>
  </si>
  <si>
    <t>1034:ＣＤ・ＤＶＤ・ビデオ・レコードショップ（一部古物の取扱いあり）</t>
  </si>
  <si>
    <t>08:教育産業</t>
  </si>
  <si>
    <t>1035:玩具店（一部古物の取扱いあり）</t>
  </si>
  <si>
    <t>09:ホテル産業</t>
  </si>
  <si>
    <t>1036:スポーツ用品店（一部古物の取扱いあり）</t>
  </si>
  <si>
    <t>10:文具・事務用品</t>
  </si>
  <si>
    <t>1037:書店（一部古物の取扱いあり）</t>
  </si>
  <si>
    <t>11:航空券</t>
  </si>
  <si>
    <t>1038:自動車・バイク用品販売（一部古物の取扱いあり）</t>
  </si>
  <si>
    <t>12:その他の貿易産業</t>
  </si>
  <si>
    <t>1039:自動車（中古車）販売店</t>
  </si>
  <si>
    <t>13:海外教育</t>
  </si>
  <si>
    <t>1040:バイク（中古車）販売店</t>
  </si>
  <si>
    <t>14:旅行チケット</t>
  </si>
  <si>
    <t>1041:健康食品</t>
  </si>
  <si>
    <t>15:レンタカー</t>
  </si>
  <si>
    <t>1042:金券・回数券・チケット</t>
  </si>
  <si>
    <t>16:国際会議</t>
  </si>
  <si>
    <t>1043:たばこ</t>
  </si>
  <si>
    <t>17:ソフトウェア</t>
  </si>
  <si>
    <t>1044:仏壇屋</t>
  </si>
  <si>
    <t>18:医療サービス</t>
  </si>
  <si>
    <t>1045:新聞販売店</t>
  </si>
  <si>
    <t>1046:自動車・バイク用品販売（古物の取扱いなし）</t>
  </si>
  <si>
    <t>1047:自動車（新車）メーカー・自動車（新車）販売店</t>
  </si>
  <si>
    <t>1048:バイク（新車）メーカー・バイク（新車）販売店</t>
  </si>
  <si>
    <t>1049:呉服</t>
  </si>
  <si>
    <t>●LinePay業種</t>
    <rPh sb="8" eb="10">
      <t>ギョウシュ</t>
    </rPh>
    <phoneticPr fontId="3"/>
  </si>
  <si>
    <t>飲食・レストラン</t>
    <rPh sb="0" eb="2">
      <t>インショク</t>
    </rPh>
    <phoneticPr fontId="29"/>
  </si>
  <si>
    <t>食料品</t>
    <rPh sb="0" eb="3">
      <t>ショクリョウヒn</t>
    </rPh>
    <phoneticPr fontId="29"/>
  </si>
  <si>
    <t>ショッピング・小売</t>
    <rPh sb="7" eb="9">
      <t>コウリ</t>
    </rPh>
    <phoneticPr fontId="29"/>
  </si>
  <si>
    <t>ファッション</t>
  </si>
  <si>
    <t>スポーツ用品</t>
    <rPh sb="4" eb="6">
      <t>ヨウヒn</t>
    </rPh>
    <phoneticPr fontId="29"/>
  </si>
  <si>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</si>
  <si>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</si>
  <si>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</si>
  <si>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</si>
  <si>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</si>
  <si>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</si>
  <si>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</si>
  <si>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</si>
  <si>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</si>
  <si>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</si>
  <si>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</si>
  <si>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</si>
  <si>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</si>
  <si>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</si>
  <si>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</si>
  <si>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</si>
  <si>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</si>
  <si>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</si>
  <si>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</si>
  <si>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</si>
  <si>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</si>
  <si>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</si>
  <si>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</si>
  <si>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</si>
  <si>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</si>
  <si>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</si>
  <si>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</si>
  <si>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</si>
  <si>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0100:飲食・レストラン</t>
  </si>
  <si>
    <t>0101:居酒屋・飲食店</t>
  </si>
  <si>
    <t>0201:食料品全般</t>
  </si>
  <si>
    <t>0301:スーパー</t>
  </si>
  <si>
    <t>0401:かばん・バッグ</t>
  </si>
  <si>
    <t>0501:サーフショップ・スクール</t>
  </si>
  <si>
    <t>0601:体育館・スポーツセンター</t>
  </si>
  <si>
    <t>0701:学習塾・進学塾</t>
  </si>
  <si>
    <t>0801:託児所・ベビーシッター</t>
  </si>
  <si>
    <t>0901:理容店</t>
  </si>
  <si>
    <t>1001:内科</t>
  </si>
  <si>
    <t>1101:法律事務所・弁護士事務所</t>
  </si>
  <si>
    <t>1201:不動産</t>
  </si>
  <si>
    <t>1301:動物病院</t>
  </si>
  <si>
    <t>1401:結婚式場</t>
  </si>
  <si>
    <t>1501:ホテル</t>
  </si>
  <si>
    <t>1601:映画館</t>
  </si>
  <si>
    <t>1701:自動車販売</t>
  </si>
  <si>
    <t>1801:鉄道</t>
  </si>
  <si>
    <t>1901:銀行</t>
  </si>
  <si>
    <t>2001:神宮・神社</t>
  </si>
  <si>
    <t>2101:経済団体</t>
  </si>
  <si>
    <t>2201:野球</t>
  </si>
  <si>
    <t>2301:図書館</t>
  </si>
  <si>
    <t>2401:児童福祉施設・サービス</t>
  </si>
  <si>
    <t>2501:電気</t>
  </si>
  <si>
    <t>2601:放送局</t>
  </si>
  <si>
    <t>2701:食品</t>
  </si>
  <si>
    <t>2801:商社</t>
  </si>
  <si>
    <t>2901:漁業</t>
  </si>
  <si>
    <t>3001:鉱業</t>
  </si>
  <si>
    <t>3101:建築工事</t>
  </si>
  <si>
    <t>3201:出版社</t>
  </si>
  <si>
    <t>3301:海運</t>
  </si>
  <si>
    <t>0200:食料品</t>
  </si>
  <si>
    <t>0102:バー・ダイニングバー</t>
  </si>
  <si>
    <t>0202:酒屋</t>
  </si>
  <si>
    <t>0302:コンビニエンスストア</t>
  </si>
  <si>
    <t>0402:アクセサリー・ジュエリー</t>
  </si>
  <si>
    <t>0502:ダイビングショップ・スクール</t>
  </si>
  <si>
    <t>0602:競技場</t>
  </si>
  <si>
    <t>0702:予備校</t>
  </si>
  <si>
    <t>0802:幼稚園・保育園</t>
  </si>
  <si>
    <t>0902:美容院・ヘアサロン</t>
  </si>
  <si>
    <t>1002:外科</t>
  </si>
  <si>
    <t>1102:特許事務所</t>
  </si>
  <si>
    <t>1202:住宅設備工事・リフォーム</t>
  </si>
  <si>
    <t>1302:ペットショップ</t>
  </si>
  <si>
    <t>1402:ブライダルサービス</t>
  </si>
  <si>
    <t>1502:旅館</t>
  </si>
  <si>
    <t>1602:劇場・寄席</t>
  </si>
  <si>
    <t>1702:中古車販売・買取</t>
  </si>
  <si>
    <t>1802:ケーブルカー</t>
  </si>
  <si>
    <t>1902:労働金庫</t>
  </si>
  <si>
    <t>2002:神道教会</t>
  </si>
  <si>
    <t>2102:商工会・商工会議所</t>
  </si>
  <si>
    <t>2202:プロ野球</t>
  </si>
  <si>
    <t>2302:博物館・美術館・科学館</t>
  </si>
  <si>
    <t>2402:介護施設・サービス</t>
  </si>
  <si>
    <t>2502:ガス</t>
  </si>
  <si>
    <t>2602:地上波放送局</t>
  </si>
  <si>
    <t>2702:飲料</t>
  </si>
  <si>
    <t>2802:医薬品</t>
  </si>
  <si>
    <t>2902:水産養殖業</t>
  </si>
  <si>
    <t>3102:設備工事</t>
  </si>
  <si>
    <t>3202:製本・印刷物加工</t>
  </si>
  <si>
    <t>3302:空輸</t>
  </si>
  <si>
    <t>0300:ショッピング・小売</t>
  </si>
  <si>
    <t>0103:その他飲食店</t>
  </si>
  <si>
    <t>0303:百貨店・デパート</t>
  </si>
  <si>
    <t>0403:靴販売</t>
  </si>
  <si>
    <t>0503:スキー用品</t>
  </si>
  <si>
    <t>0603:野球場</t>
  </si>
  <si>
    <t>0703:家庭教師</t>
  </si>
  <si>
    <t>0803:学童保育所</t>
  </si>
  <si>
    <t>0903:ネイルサロン・スクール</t>
  </si>
  <si>
    <t>1003:小児科</t>
  </si>
  <si>
    <t>1103:公証人役場・司法書士事務所</t>
  </si>
  <si>
    <t>1203:住宅展示場・モデルルーム</t>
  </si>
  <si>
    <t>1303:ペット用品店</t>
  </si>
  <si>
    <t>1403:結婚相談所</t>
  </si>
  <si>
    <t>1503:民宿・ペンション</t>
  </si>
  <si>
    <t>1603:ライブハウス</t>
  </si>
  <si>
    <t>1703:自動車部品・カー用品販売</t>
  </si>
  <si>
    <t>1803:ロープウェー</t>
  </si>
  <si>
    <t>1903:信用金庫</t>
  </si>
  <si>
    <t>2003:寺院</t>
  </si>
  <si>
    <t>2103:商店組合</t>
  </si>
  <si>
    <t>2203:草野球</t>
  </si>
  <si>
    <t>2303:会館・ホール</t>
  </si>
  <si>
    <t>2403:その他福祉施設・サービス</t>
  </si>
  <si>
    <t>2503:燃料店</t>
  </si>
  <si>
    <t>2603:BS放送局</t>
  </si>
  <si>
    <t>2703:繊維工業</t>
  </si>
  <si>
    <t>2803:再生資源</t>
  </si>
  <si>
    <t>2903:農業</t>
  </si>
  <si>
    <t>3203:製版</t>
  </si>
  <si>
    <t>3303:倉庫</t>
  </si>
  <si>
    <t>0400:ファッション</t>
  </si>
  <si>
    <t>0104:デリバリー・ケータリング</t>
  </si>
  <si>
    <t>0304:ショッピングセンター・モール</t>
  </si>
  <si>
    <t>0404:衣料品</t>
  </si>
  <si>
    <t>0504:登山用品</t>
  </si>
  <si>
    <t>0604:卓球場・教室</t>
  </si>
  <si>
    <t>0704:その他学習塾・予備校・家庭教師</t>
  </si>
  <si>
    <t>0804:その他保育園・幼稚園・育児</t>
  </si>
  <si>
    <t>0904:まつげエクステ・パーマサロン</t>
  </si>
  <si>
    <t>1004:産婦人科</t>
  </si>
  <si>
    <t>1104:公認会計士事務所</t>
  </si>
  <si>
    <t>1204:ハウスクリーニング・害虫駆除</t>
  </si>
  <si>
    <t>1304:ペットサロン</t>
  </si>
  <si>
    <t>1404:葬祭業</t>
  </si>
  <si>
    <t>1504:その他旅館・ホテル</t>
  </si>
  <si>
    <t>1604:ディスコ</t>
  </si>
  <si>
    <t>1704:自動車整備・車検・修理</t>
  </si>
  <si>
    <t>1804:路線バス</t>
  </si>
  <si>
    <t>1904:信用組合</t>
  </si>
  <si>
    <t>2004:仏教教会</t>
  </si>
  <si>
    <t>2104:漁業協同組合</t>
  </si>
  <si>
    <t>2204:少年野球</t>
  </si>
  <si>
    <t>2304:公民館・集会所</t>
  </si>
  <si>
    <t>2504:その他電気・ガス、エネルギー</t>
  </si>
  <si>
    <t>2604:CS放送局</t>
  </si>
  <si>
    <t>2704:衣服全般</t>
  </si>
  <si>
    <t>2804:青果・魚・市場</t>
  </si>
  <si>
    <t>2904:林業</t>
  </si>
  <si>
    <t>3204:印刷</t>
  </si>
  <si>
    <t>3304:陸運</t>
  </si>
  <si>
    <t>0500:スポーツ用品</t>
  </si>
  <si>
    <t>0305:ホームセンター</t>
  </si>
  <si>
    <t>0405:紳士服・雑貨</t>
  </si>
  <si>
    <t>0505:釣具</t>
  </si>
  <si>
    <t>0605:テニスコート・スクール</t>
  </si>
  <si>
    <t>0705:パソコン教室</t>
  </si>
  <si>
    <t>0805:インターナショナルスクール</t>
  </si>
  <si>
    <t>0905:リラクゼーションマッサージ</t>
  </si>
  <si>
    <t>1005:助産師・助産院</t>
  </si>
  <si>
    <t>1105:税理士事務所</t>
  </si>
  <si>
    <t>1205:鍵交換・修理</t>
  </si>
  <si>
    <t>1305:ペットホテル</t>
  </si>
  <si>
    <t>1405:葬儀場</t>
  </si>
  <si>
    <t>1505:ユースホステル</t>
  </si>
  <si>
    <t>1605:ダンスホール</t>
  </si>
  <si>
    <t>1705:自動車解体・廃車</t>
  </si>
  <si>
    <t>1805:観光・貸切バス</t>
  </si>
  <si>
    <t>1905:証券会社</t>
  </si>
  <si>
    <t>2005:キリスト教教会・修道院</t>
  </si>
  <si>
    <t>2105:森林組合</t>
  </si>
  <si>
    <t>2205:サッカー</t>
  </si>
  <si>
    <t>2305:社会教育施設</t>
  </si>
  <si>
    <t>2605:ケーブルテレビ局</t>
  </si>
  <si>
    <t>2705:紳士服</t>
  </si>
  <si>
    <t>2805:産業用機械器具レンタル・リース</t>
  </si>
  <si>
    <t>0600:スポーツ施設・教室</t>
  </si>
  <si>
    <t>0306:薬・ドラッグストア</t>
  </si>
  <si>
    <t>0406:婦人服・雑貨</t>
  </si>
  <si>
    <t>0506:スポーツ・アウトドア用品</t>
  </si>
  <si>
    <t>0606:プール</t>
  </si>
  <si>
    <t>0706:外国語会話・外国語教室</t>
  </si>
  <si>
    <t>0806:小学校</t>
  </si>
  <si>
    <t>0906:アロマテラピーサロン・スクール</t>
  </si>
  <si>
    <t>1006:眼科</t>
  </si>
  <si>
    <t>1106:社会保険労務士・労働衛生コンサルタント</t>
  </si>
  <si>
    <t>1206:水漏れ・水道修理</t>
  </si>
  <si>
    <t>1306:しつけ・トレーニング</t>
  </si>
  <si>
    <t>1406:墓石</t>
  </si>
  <si>
    <t>1506:カプセルホテル</t>
  </si>
  <si>
    <t>1606:カラオケ</t>
  </si>
  <si>
    <t>1706:バイク販売・修理</t>
  </si>
  <si>
    <t>1806:ハイヤー・タクシー</t>
  </si>
  <si>
    <t>1906:保険</t>
  </si>
  <si>
    <t>2006:その他寺院・神社・教会</t>
  </si>
  <si>
    <t>2106:農業協同組合</t>
  </si>
  <si>
    <t>2206:サッカーＪリーグ</t>
  </si>
  <si>
    <t>2306:保健所</t>
  </si>
  <si>
    <t>2606:ラジオ局</t>
  </si>
  <si>
    <t>2706:婦人・子供・ベビー服</t>
  </si>
  <si>
    <t>2806:熱供給業</t>
  </si>
  <si>
    <t>0700:教育・習い事</t>
  </si>
  <si>
    <t>0307:ディスカウントショップ</t>
  </si>
  <si>
    <t>0407:着物・呉服</t>
  </si>
  <si>
    <t>0507:ゴルフ用品</t>
  </si>
  <si>
    <t>0607:スイミングスクール</t>
  </si>
  <si>
    <t>0707:英会話・英語教室</t>
  </si>
  <si>
    <t>0807:中学校</t>
  </si>
  <si>
    <t>0907:エステティックサロン</t>
  </si>
  <si>
    <t>1007:歯科</t>
  </si>
  <si>
    <t>1107:デザイン事務所</t>
  </si>
  <si>
    <t>1207:不用品回収</t>
  </si>
  <si>
    <t>1307:ドッグラン</t>
  </si>
  <si>
    <t>1407:墓地</t>
  </si>
  <si>
    <t>1507:ベットハウス</t>
  </si>
  <si>
    <t>1607:ゲームセンター</t>
  </si>
  <si>
    <t>1707:中古バイク販売・買取</t>
  </si>
  <si>
    <t>1807:介護タクシー</t>
  </si>
  <si>
    <t>1907:クレジットカード</t>
  </si>
  <si>
    <t>2107:政党</t>
  </si>
  <si>
    <t>2207:女子サッカー</t>
  </si>
  <si>
    <t>2307:職業安定所</t>
  </si>
  <si>
    <t>2607:新聞社</t>
  </si>
  <si>
    <t>2707:靴</t>
  </si>
  <si>
    <t>2807:事業サービス業</t>
  </si>
  <si>
    <t>0800:保育・学校</t>
  </si>
  <si>
    <t>0308:リサイクルショップ</t>
  </si>
  <si>
    <t>0408:貸衣しょう</t>
  </si>
  <si>
    <t>0508:テニス用品</t>
  </si>
  <si>
    <t>0608:フットサル・サッカーコート</t>
  </si>
  <si>
    <t>0708:幼児教室</t>
  </si>
  <si>
    <t>0808:高等学校</t>
  </si>
  <si>
    <t>0908:痩身サロン</t>
  </si>
  <si>
    <t>1008:審美歯科・ホワイトニング</t>
  </si>
  <si>
    <t>1108:経営コンサルタント</t>
  </si>
  <si>
    <t>1208:家事代行サービス・便利屋</t>
  </si>
  <si>
    <t>1308:ペット葬儀・墓地</t>
  </si>
  <si>
    <t>1408:その他冠婚葬祭</t>
  </si>
  <si>
    <t>1508:ファッションホテル</t>
  </si>
  <si>
    <t>1608:ビリヤード</t>
  </si>
  <si>
    <t>1708:バイク部品・用品販売</t>
  </si>
  <si>
    <t>1808:運転代行</t>
  </si>
  <si>
    <t>1908:貸金業</t>
  </si>
  <si>
    <t>2108:その他団体</t>
  </si>
  <si>
    <t>2208:少年サッカー</t>
  </si>
  <si>
    <t>2308:年金事務所</t>
  </si>
  <si>
    <t>2608:通信業</t>
  </si>
  <si>
    <t>2708:服飾品</t>
  </si>
  <si>
    <t>2808:速記・ワープロ入力・パソコン入力</t>
  </si>
  <si>
    <t>0900:美容・サロン</t>
  </si>
  <si>
    <t>0309:チケット店</t>
  </si>
  <si>
    <t>0509:武道用品</t>
  </si>
  <si>
    <t>0609:フットサル・サッカースクール</t>
  </si>
  <si>
    <t>0709:そろばん・珠算教室</t>
  </si>
  <si>
    <t>0809:定時制高等学校</t>
  </si>
  <si>
    <t>0909:脱毛サロン</t>
  </si>
  <si>
    <t>1009:耳鼻咽喉科</t>
  </si>
  <si>
    <t>1109:不動産鑑定業</t>
  </si>
  <si>
    <t>1209:引越しサービス</t>
  </si>
  <si>
    <t>1309:その他ペットサービス</t>
  </si>
  <si>
    <t>1509:その他宿泊施設</t>
  </si>
  <si>
    <t>1609:囲碁・将棋所</t>
  </si>
  <si>
    <t>1709:レンタカー</t>
  </si>
  <si>
    <t>1809:空港・飛行場</t>
  </si>
  <si>
    <t>1909:質屋</t>
  </si>
  <si>
    <t>2109:その他ローカルビジネス</t>
  </si>
  <si>
    <t>2209:フットサル</t>
  </si>
  <si>
    <t>2309:警察</t>
  </si>
  <si>
    <t>2609:情報サービス</t>
  </si>
  <si>
    <t>2709:寝具</t>
  </si>
  <si>
    <t>2809:計量証明</t>
  </si>
  <si>
    <t>1000:医療機関・診療所</t>
  </si>
  <si>
    <t>0310:プレイガイド・チケット販売</t>
  </si>
  <si>
    <t>0510:その他スポーツ用品</t>
  </si>
  <si>
    <t>0610:ヨガスタジオ・教室</t>
  </si>
  <si>
    <t>0710:書道教室</t>
  </si>
  <si>
    <t>0810:通信制高等学校</t>
  </si>
  <si>
    <t>0910:日焼けサロン</t>
  </si>
  <si>
    <t>1010:アレルギー科</t>
  </si>
  <si>
    <t>1110:行政書士事務所</t>
  </si>
  <si>
    <t>1210:荷物宅配サービス</t>
  </si>
  <si>
    <t>1610:競輪・競馬・競艇・オートレース</t>
  </si>
  <si>
    <t>1710:レンタルバイク</t>
  </si>
  <si>
    <t>1810:航空会社</t>
  </si>
  <si>
    <t>1910:その他銀行・保険・金融</t>
  </si>
  <si>
    <t>2210:フットサルFリーグ</t>
  </si>
  <si>
    <t>2310:消防</t>
  </si>
  <si>
    <t>2610:広告制作・代理店</t>
  </si>
  <si>
    <t>2710:パルプ・紙</t>
  </si>
  <si>
    <t>2810:機械修理</t>
  </si>
  <si>
    <t>1100:専門サービス</t>
  </si>
  <si>
    <t>0311:買取専門店</t>
  </si>
  <si>
    <t>0611:ダンススタジオ・スクール</t>
  </si>
  <si>
    <t>0711:華道・茶道教室</t>
  </si>
  <si>
    <t>0811:高等学校所属部活動</t>
  </si>
  <si>
    <t>0911:小顔矯正サロン</t>
  </si>
  <si>
    <t>1011:皮膚科</t>
  </si>
  <si>
    <t>1111:土地家屋調査士</t>
  </si>
  <si>
    <t>1211:郵便局</t>
  </si>
  <si>
    <t>1611:インターネットカフェ</t>
  </si>
  <si>
    <t>1711:ガソリンスタンド</t>
  </si>
  <si>
    <t>1811:その他交通機関・サービス</t>
  </si>
  <si>
    <t>2211:ラグビー</t>
  </si>
  <si>
    <t>2311:裁判所</t>
  </si>
  <si>
    <t>2611:映像制作</t>
  </si>
  <si>
    <t>2711:化学・薬品</t>
  </si>
  <si>
    <t>2811:その他修理業</t>
  </si>
  <si>
    <t>1200:生活関連サービス</t>
  </si>
  <si>
    <t>0312:ＣＤ・ＤＶＤ・レコード販売</t>
  </si>
  <si>
    <t>0612:バレエスタジオ・教室</t>
  </si>
  <si>
    <t>0712:舞踊教室</t>
  </si>
  <si>
    <t>0812:その他小学校・中学校・高校</t>
  </si>
  <si>
    <t>0912:美容サロン</t>
  </si>
  <si>
    <t>1012:美容クリニック・美容外科</t>
  </si>
  <si>
    <t>1112:興信所・探偵事務所</t>
  </si>
  <si>
    <t>1212:パソコン修理・サポート</t>
  </si>
  <si>
    <t>1612:その他娯楽・エンタメ</t>
  </si>
  <si>
    <t>1712:ロードサービス</t>
  </si>
  <si>
    <t>2212:ラグビートップリーグ</t>
  </si>
  <si>
    <t>2312:市町村機関</t>
  </si>
  <si>
    <t>2612:音楽製作</t>
  </si>
  <si>
    <t>2712:石油・石炭製品</t>
  </si>
  <si>
    <t>2812:産業廃棄物処理業</t>
  </si>
  <si>
    <t>1300:ペット</t>
  </si>
  <si>
    <t>0313:中古ＣＤ・ＤＶＤ・レコード販売</t>
  </si>
  <si>
    <t>0613:フィットネス・スポーツクラブ・ジム</t>
  </si>
  <si>
    <t>0713:着付け教室</t>
  </si>
  <si>
    <t>0813:高等専門学校</t>
  </si>
  <si>
    <t>1013:整形外科</t>
  </si>
  <si>
    <t>1113:警備</t>
  </si>
  <si>
    <t>1213:スマートフォン修理</t>
  </si>
  <si>
    <t>1613:劇団</t>
  </si>
  <si>
    <t>1713:レッカー・けん引</t>
  </si>
  <si>
    <t>2213:プロレス</t>
  </si>
  <si>
    <t>2313:都道府県機関</t>
  </si>
  <si>
    <t>2613:映画配給会社</t>
  </si>
  <si>
    <t>2713:ゴム製品</t>
  </si>
  <si>
    <t>2813:一般廃棄物処理業</t>
  </si>
  <si>
    <t>1400:冠婚葬祭</t>
  </si>
  <si>
    <t>0314:書店・本屋</t>
  </si>
  <si>
    <t>0614:加圧トレーニング・スタジオ</t>
  </si>
  <si>
    <t>0714:和裁・洋裁教室</t>
  </si>
  <si>
    <t>0814:高等専修学校</t>
  </si>
  <si>
    <t>1014:形成外科</t>
  </si>
  <si>
    <t>1114:翻訳</t>
  </si>
  <si>
    <t>1214:靴・かばん修理</t>
  </si>
  <si>
    <t>1614:楽団・舞踊団</t>
  </si>
  <si>
    <t>1714:駐車場</t>
  </si>
  <si>
    <t>2214:アイスホッケー</t>
  </si>
  <si>
    <t>2314:国家機関</t>
  </si>
  <si>
    <t>2614:その他通信・情報・メディア</t>
  </si>
  <si>
    <t>2714:窯業・ガラス</t>
  </si>
  <si>
    <t>2814:その他商業</t>
  </si>
  <si>
    <t>1500:宿泊施設</t>
  </si>
  <si>
    <t>0315:古本屋</t>
  </si>
  <si>
    <t>0615:ボルダリング・クライミング</t>
  </si>
  <si>
    <t>0715:料理教室</t>
  </si>
  <si>
    <t>0815:短期大学</t>
  </si>
  <si>
    <t>1015:消化器科・胃腸科</t>
  </si>
  <si>
    <t>1115:通訳・通訳案内</t>
  </si>
  <si>
    <t>1215:芸術品修理業</t>
  </si>
  <si>
    <t>1615:コンサート・音楽イベント</t>
  </si>
  <si>
    <t>1715:道路情報サービス</t>
  </si>
  <si>
    <t>2215:アジアリーグアイスホッケー</t>
  </si>
  <si>
    <t>2315:その他官公庁</t>
  </si>
  <si>
    <t>2715:鉄鋼</t>
  </si>
  <si>
    <t>1600:旅行・エンタメ・レジャー</t>
  </si>
  <si>
    <t>0316:電子書籍</t>
  </si>
  <si>
    <t>0616:ボクシングジム</t>
  </si>
  <si>
    <t>0716:お菓子教室</t>
  </si>
  <si>
    <t>0816:大学</t>
  </si>
  <si>
    <t>1016:泌尿器科</t>
  </si>
  <si>
    <t>1116:スポーツ・エンタメ興行</t>
  </si>
  <si>
    <t>1216:その他各種修理・修繕</t>
  </si>
  <si>
    <t>1616:展示会・博覧会</t>
  </si>
  <si>
    <t>1716:自動車教習所</t>
  </si>
  <si>
    <t>2216:アメリカンフットボール</t>
  </si>
  <si>
    <t>2316:外国公館・国連</t>
  </si>
  <si>
    <t>2716:非鉄金属</t>
  </si>
  <si>
    <t>1700:自動車・バイク</t>
  </si>
  <si>
    <t>0317:骨董・古美術品</t>
  </si>
  <si>
    <t>0617:健康教室</t>
  </si>
  <si>
    <t>0717:パン教室</t>
  </si>
  <si>
    <t>0817:大学院</t>
  </si>
  <si>
    <t>1017:呼吸器科</t>
  </si>
  <si>
    <t>1117:職業紹介</t>
  </si>
  <si>
    <t>1217:各種代行サービス</t>
  </si>
  <si>
    <t>1617:その他イベント</t>
  </si>
  <si>
    <t>1717:その他自動車・バイク</t>
  </si>
  <si>
    <t>2217:ソフトボール</t>
  </si>
  <si>
    <t>2317:自治体公式キャラクター</t>
  </si>
  <si>
    <t>2717:金属製品</t>
  </si>
  <si>
    <t>1800:交通機関・サービス</t>
  </si>
  <si>
    <t>0318:家電・パソコン</t>
  </si>
  <si>
    <t>0618:体育・体操教室</t>
  </si>
  <si>
    <t>0718:音楽教室</t>
  </si>
  <si>
    <t>0818:大学所属サークル・部活動</t>
  </si>
  <si>
    <t>1018:循環器科</t>
  </si>
  <si>
    <t>1118:労働者・人材派遣</t>
  </si>
  <si>
    <t>1218:各種出張サービス</t>
  </si>
  <si>
    <t>1618:テーマパーク・遊園地</t>
  </si>
  <si>
    <t>2218:バスケットボール</t>
  </si>
  <si>
    <t>2318:その他公共機関・施設</t>
  </si>
  <si>
    <t>2718:機械製品</t>
  </si>
  <si>
    <t>1900:銀行・保険・金融</t>
  </si>
  <si>
    <t>0319:携帯電話・PHS</t>
  </si>
  <si>
    <t>0619:空手道場・教室</t>
  </si>
  <si>
    <t>0719:ピアノ教室</t>
  </si>
  <si>
    <t>0819:専修学校・専門学校</t>
  </si>
  <si>
    <t>1019:肛門科</t>
  </si>
  <si>
    <t>1119:音楽家・芸術家</t>
  </si>
  <si>
    <t>1219:悩み相談・カウンセリング</t>
  </si>
  <si>
    <t>1619:公園</t>
  </si>
  <si>
    <t>2219:バスケbjリーグ</t>
  </si>
  <si>
    <t>2719:電気機器</t>
  </si>
  <si>
    <t>2000:寺院・神社・教会</t>
  </si>
  <si>
    <t>0320:時計</t>
  </si>
  <si>
    <t>0620:乗馬クラブ・教室</t>
  </si>
  <si>
    <t>0720:ボイス・ボーカル教室</t>
  </si>
  <si>
    <t>0820:通信制大学</t>
  </si>
  <si>
    <t>1020:心臓血管外科</t>
  </si>
  <si>
    <t>1120:その他専門サービス業</t>
  </si>
  <si>
    <t>1220:クリーニング</t>
  </si>
  <si>
    <t>1620:天文台</t>
  </si>
  <si>
    <t>2220:ミニバスケットボール</t>
  </si>
  <si>
    <t>2720:輸送用機器・自動車</t>
  </si>
  <si>
    <t>2100:団体</t>
  </si>
  <si>
    <t>0321:メガネ・コンタクトレンズ・補聴器</t>
  </si>
  <si>
    <t>0621:ゴルフ練習場・スクール</t>
  </si>
  <si>
    <t>0721:ギター教室</t>
  </si>
  <si>
    <t>0821:その他大学・専門学校</t>
  </si>
  <si>
    <t>1021:脳神経外科</t>
  </si>
  <si>
    <t>1221:写真店・フォトスタジオ</t>
  </si>
  <si>
    <t>1621:プラネタリウム</t>
  </si>
  <si>
    <t>2221:バレーボール</t>
  </si>
  <si>
    <t>2721:精密機器</t>
  </si>
  <si>
    <t>2200:スポーツチーム・団体</t>
  </si>
  <si>
    <t>0322:化粧品・メイク用品</t>
  </si>
  <si>
    <t>0622:スキー場</t>
  </si>
  <si>
    <t>0722:タレントスクール</t>
  </si>
  <si>
    <t>0822:養護学校</t>
  </si>
  <si>
    <t>1022:心療内科</t>
  </si>
  <si>
    <t>1222:一般印刷</t>
  </si>
  <si>
    <t>1622:動物園</t>
  </si>
  <si>
    <t>2222:ビーチバレー</t>
  </si>
  <si>
    <t>2722:木製品</t>
  </si>
  <si>
    <t>2300:公共機関・施設</t>
  </si>
  <si>
    <t>0323:自転車・サイクルショップ</t>
  </si>
  <si>
    <t>0623:スケート場</t>
  </si>
  <si>
    <t>0723:絵画・アート教室</t>
  </si>
  <si>
    <t>0823:盲学校</t>
  </si>
  <si>
    <t>1023:神経内科</t>
  </si>
  <si>
    <t>1223:撮影サービス</t>
  </si>
  <si>
    <t>1623:植物園</t>
  </si>
  <si>
    <t>2223:ハンドボール</t>
  </si>
  <si>
    <t>2723:日用品・雑貨</t>
  </si>
  <si>
    <t>2400:福祉・介護</t>
  </si>
  <si>
    <t>0324:おもちゃ・玩具</t>
  </si>
  <si>
    <t>0624:キャンプ場</t>
  </si>
  <si>
    <t>0724:手芸・クラフト教室</t>
  </si>
  <si>
    <t>0824:ろう学校</t>
  </si>
  <si>
    <t>1024:精神神経科</t>
  </si>
  <si>
    <t>1224:音楽スタジオ</t>
  </si>
  <si>
    <t>1624:水族館</t>
  </si>
  <si>
    <t>2224:ホッケー</t>
  </si>
  <si>
    <t>2724:医薬品・化粧品</t>
  </si>
  <si>
    <t>2500:電気・ガス・エネルギー</t>
  </si>
  <si>
    <t>0325:子供服・ベビー用品</t>
  </si>
  <si>
    <t>0625:ボウリング場</t>
  </si>
  <si>
    <t>0725:フラワー教室</t>
  </si>
  <si>
    <t>0825:同窓会・OB会</t>
  </si>
  <si>
    <t>1025:放射線科</t>
  </si>
  <si>
    <t>1225:レンタルスペース</t>
  </si>
  <si>
    <t>1625:ドライブイン・道の駅</t>
  </si>
  <si>
    <t>2225:スポーツイベント</t>
  </si>
  <si>
    <t>2725:皮革・合成皮革製品</t>
  </si>
  <si>
    <t>2600:通信・情報・メディア</t>
  </si>
  <si>
    <t>0326:文房具</t>
  </si>
  <si>
    <t>0626:バッティングセンター</t>
  </si>
  <si>
    <t>0726:工芸教室</t>
  </si>
  <si>
    <t>0826:研究機関</t>
  </si>
  <si>
    <t>1026:麻酔科</t>
  </si>
  <si>
    <t>1226:コワーキングスペース・シェアオフィス</t>
  </si>
  <si>
    <t>1626:銭湯・公衆浴場・温泉浴場</t>
  </si>
  <si>
    <t>2226:スポーツリーグ</t>
  </si>
  <si>
    <t>2726:スポーツ用品</t>
  </si>
  <si>
    <t>2700:製造業</t>
  </si>
  <si>
    <t>0327:事務所・店舗用装備品</t>
  </si>
  <si>
    <t>0627:つり堀</t>
  </si>
  <si>
    <t>0727:陶芸教室</t>
  </si>
  <si>
    <t>1027:リウマチ科</t>
  </si>
  <si>
    <t>1227:自習室</t>
  </si>
  <si>
    <t>1627:ヘルスセンター・健康ランド</t>
  </si>
  <si>
    <t>2227:その他スポーツチーム・団体</t>
  </si>
  <si>
    <t>2727:ゲーム・おもちゃ</t>
  </si>
  <si>
    <t>2800:商業</t>
  </si>
  <si>
    <t>0328:生活雑貨・インテリア用品</t>
  </si>
  <si>
    <t>0628:ヨットハーバー・マリーナ</t>
  </si>
  <si>
    <t>0728:カルチャースクール</t>
  </si>
  <si>
    <t>1028:性病科</t>
  </si>
  <si>
    <t>1228:レンタルビデオ・CD・貸本</t>
  </si>
  <si>
    <t>1628:歴史的建造物・観光名所</t>
  </si>
  <si>
    <t>2728:事務用品・OA機器</t>
  </si>
  <si>
    <t>2900:水産・農林</t>
  </si>
  <si>
    <t>0329:家具</t>
  </si>
  <si>
    <t>0629:その他スポーツ施設</t>
  </si>
  <si>
    <t>0729:ビジネススクール・就活スクール</t>
  </si>
  <si>
    <t>1029:リハビリテーション科</t>
  </si>
  <si>
    <t>1229:レンタルサービス</t>
  </si>
  <si>
    <t>1629:その他レジャー施設</t>
  </si>
  <si>
    <t>2729:レコード・ＣＤ制作</t>
  </si>
  <si>
    <t>3000:鉱業</t>
  </si>
  <si>
    <t>0330:住宅設備</t>
  </si>
  <si>
    <t>0630:その他スポーツ教室・道場</t>
  </si>
  <si>
    <t>0730:その他各種教室</t>
  </si>
  <si>
    <t>1030:総合病院</t>
  </si>
  <si>
    <t>1230:レンタサイクル</t>
  </si>
  <si>
    <t>1630:観光協会・旅行ガイド</t>
  </si>
  <si>
    <t>2730:楽器</t>
  </si>
  <si>
    <t>3100:建設・土木</t>
  </si>
  <si>
    <t>0331:キッチン用品・食器</t>
  </si>
  <si>
    <t>0631:スポーツサービス</t>
  </si>
  <si>
    <t>0731:通信教育</t>
  </si>
  <si>
    <t>1031:医院・診療所</t>
  </si>
  <si>
    <t>1231:新聞販売店</t>
  </si>
  <si>
    <t>1631:旅行代理店</t>
  </si>
  <si>
    <t>2731:PC・コンピュータ・周辺機器</t>
  </si>
  <si>
    <t>3200:印刷・出版</t>
  </si>
  <si>
    <t>0332:荒物・日用品</t>
  </si>
  <si>
    <t>0732:研修センター</t>
  </si>
  <si>
    <t>1032:人間ドック・健康診断</t>
  </si>
  <si>
    <t>1232:その他生活関連サービス</t>
  </si>
  <si>
    <t>1632:その他旅行・レジャー</t>
  </si>
  <si>
    <t>2732:ソフトウェア</t>
  </si>
  <si>
    <t>3300:運送・倉庫</t>
  </si>
  <si>
    <t>0333:花・植木店</t>
  </si>
  <si>
    <t>1033:その他病院・診療所</t>
  </si>
  <si>
    <t>1633:オンラインゲーム</t>
  </si>
  <si>
    <t>2733:健康機器・理美容用品</t>
  </si>
  <si>
    <t>0334:仏壇・仏具</t>
  </si>
  <si>
    <t>1034:あんまマッサージ・針灸・整体</t>
  </si>
  <si>
    <t>2734:ベビー・子ども用品</t>
  </si>
  <si>
    <t>0335:その他ショッピング</t>
  </si>
  <si>
    <t>1035:その他各種療法</t>
  </si>
  <si>
    <t>2735:キッチン・料理用器具</t>
  </si>
  <si>
    <t>1036:処方箋薬局</t>
  </si>
  <si>
    <t>2736:その他製品</t>
  </si>
  <si>
    <t>1037:歯科技工所</t>
  </si>
  <si>
    <t>1038:医療附帯サービス</t>
  </si>
  <si>
    <t>1039:その他医療関係施設・サービス</t>
  </si>
  <si>
    <t>●OrigamiPay業種カテゴリー</t>
    <rPh sb="11" eb="13">
      <t>ギョウシュ</t>
    </rPh>
    <phoneticPr fontId="3"/>
  </si>
  <si>
    <t>カテゴリー</t>
    <phoneticPr fontId="3"/>
  </si>
  <si>
    <t>美容</t>
  </si>
  <si>
    <t>コンビニ・スーパー・食料飲料品店</t>
    <phoneticPr fontId="3"/>
  </si>
  <si>
    <t>百貨店・量販店・専門店</t>
    <phoneticPr fontId="3"/>
  </si>
  <si>
    <t>交通・運送・運輸関連サービス</t>
    <phoneticPr fontId="3"/>
  </si>
  <si>
    <t>レジャー・エンターテイメント・フィットネス</t>
    <phoneticPr fontId="3"/>
  </si>
  <si>
    <t>観光・宿泊</t>
    <phoneticPr fontId="3"/>
  </si>
  <si>
    <t>医療</t>
  </si>
  <si>
    <t>教育・習い事</t>
    <phoneticPr fontId="3"/>
  </si>
  <si>
    <t>非営利・団体</t>
    <phoneticPr fontId="3"/>
  </si>
  <si>
    <t>00000:選択してください</t>
    <rPh sb="6" eb="8">
      <t>センタク</t>
    </rPh>
    <phoneticPr fontId="3"/>
  </si>
  <si>
    <t>01000:ファッション</t>
  </si>
  <si>
    <t>01001:アパレル・服飾・ブティック</t>
  </si>
  <si>
    <t>02001:カフェ・喫茶店</t>
  </si>
  <si>
    <t>03001:コスメ</t>
  </si>
  <si>
    <t>04001:コンビニエンスストア</t>
  </si>
  <si>
    <t>05001:百貨店・デパート・ショッピングセンター・モール</t>
  </si>
  <si>
    <t>06001:タクシー・運転代行</t>
  </si>
  <si>
    <t>07001:映画館・劇場・舞台</t>
  </si>
  <si>
    <t>08001:ホテル</t>
  </si>
  <si>
    <t>09001:本・雑誌・CD・DVD</t>
  </si>
  <si>
    <t>10001:ハウスクリーニング</t>
  </si>
  <si>
    <t>11001:医療サービス・クリニック</t>
  </si>
  <si>
    <t>12001:学習塾・予備校</t>
  </si>
  <si>
    <t>13001:非営利団体</t>
  </si>
  <si>
    <t>02000:飲食</t>
  </si>
  <si>
    <t>01002:アクセサリー</t>
  </si>
  <si>
    <t>02002:ファストフード</t>
  </si>
  <si>
    <t>03002:ヘアサロン</t>
  </si>
  <si>
    <t>04002:スーパーマーケット</t>
  </si>
  <si>
    <t>05002:ドラッグストア・薬局</t>
  </si>
  <si>
    <t>06002:バス・長距離バス・貸切バス</t>
  </si>
  <si>
    <t>07002:イベント・フェスティバル</t>
  </si>
  <si>
    <t>08002:旅館・民宿・ペンション</t>
  </si>
  <si>
    <t>09002:文具・事務用品</t>
  </si>
  <si>
    <t>10002:ドライクリーニング・ランドリー</t>
  </si>
  <si>
    <t>11002:歯科医</t>
  </si>
  <si>
    <t>12002:語学学校</t>
  </si>
  <si>
    <t>13002:会員制組織</t>
  </si>
  <si>
    <t>03000:美容</t>
  </si>
  <si>
    <t>01003:靴・鞄</t>
  </si>
  <si>
    <t>02003:ベーカリー</t>
  </si>
  <si>
    <t>03003:エステティックサロン</t>
  </si>
  <si>
    <t>04003:酒屋・酒造</t>
  </si>
  <si>
    <t>05003:家電量販店</t>
  </si>
  <si>
    <t>06003:レンタカー</t>
  </si>
  <si>
    <t>07003:遊園地</t>
  </si>
  <si>
    <t>08003:ロッジ・コテージ・キャンプ場</t>
  </si>
  <si>
    <t>09003:インテリア・雑貨</t>
  </si>
  <si>
    <t>10003:駐車場</t>
  </si>
  <si>
    <t>11003:眼科医</t>
  </si>
  <si>
    <t>12003:家庭教師・家庭教師派遣</t>
  </si>
  <si>
    <t>13003:政治団体</t>
  </si>
  <si>
    <t>04000:コンビニ・スーパー・食料飲料品店</t>
    <phoneticPr fontId="3"/>
  </si>
  <si>
    <t>01004:時計</t>
  </si>
  <si>
    <t>02004:和洋菓子店・スイーツ店</t>
  </si>
  <si>
    <t>03004:ネイルサロン</t>
  </si>
  <si>
    <t>04004:食料品店</t>
  </si>
  <si>
    <t>05004:家具・インテリア量販店</t>
  </si>
  <si>
    <t>06004:電車</t>
  </si>
  <si>
    <t>07004:興行チケット</t>
  </si>
  <si>
    <t>08004:貸別荘</t>
  </si>
  <si>
    <t>09004:メガネ・補聴器・コンタクトレンズ</t>
  </si>
  <si>
    <t>10004:ペットサロン・トリマー</t>
  </si>
  <si>
    <t>11004:精神科・カウンセリング</t>
  </si>
  <si>
    <t>12004:パソコン教室</t>
  </si>
  <si>
    <t>13004:宗教団体</t>
  </si>
  <si>
    <t>05000:百貨店・量販店・専門店</t>
    <phoneticPr fontId="3"/>
  </si>
  <si>
    <t>01005:子供服・乳幼児用品</t>
  </si>
  <si>
    <t>02005:ファミリーレストラン</t>
  </si>
  <si>
    <t>03005:スタイリスト・美容コンサルティング</t>
  </si>
  <si>
    <t>04005:その他コンビニ・スーパー・食料飲料品店</t>
  </si>
  <si>
    <t>05005:総合生活雑貨</t>
  </si>
  <si>
    <t>06005:引越し</t>
  </si>
  <si>
    <t>07005:音楽スタジオ</t>
  </si>
  <si>
    <t>08005:保養施設</t>
  </si>
  <si>
    <t>09005:フラワーショップ・花屋・観葉植物</t>
  </si>
  <si>
    <t>10005:配送・配達</t>
  </si>
  <si>
    <t>11005:施術師</t>
  </si>
  <si>
    <t>12005:保育施設</t>
  </si>
  <si>
    <t>13005:その他非営利・団体</t>
  </si>
  <si>
    <t>06000:交通・運送・運輸関連サービス</t>
    <phoneticPr fontId="3"/>
  </si>
  <si>
    <t>01006:下着専門</t>
  </si>
  <si>
    <t>02006:和食</t>
  </si>
  <si>
    <t>03006:日焼けサロン</t>
  </si>
  <si>
    <t>05006:ディスカウントショップ・100円ショップ</t>
  </si>
  <si>
    <t>06006:配達・デリバリー業</t>
  </si>
  <si>
    <t>07006:ヨガスタジオ・ピラテススタジオ</t>
  </si>
  <si>
    <t>08006:旅行代理店</t>
  </si>
  <si>
    <t>09006:文房具品店・家庭事務用品・事務用品</t>
  </si>
  <si>
    <t>10006:建築・インテリアデザイン</t>
  </si>
  <si>
    <t>11006:代替医療サービス</t>
  </si>
  <si>
    <t>12006:カルチャースクール</t>
  </si>
  <si>
    <t>07000:レジャー・エンターテイメント・フィットネス</t>
    <phoneticPr fontId="3"/>
  </si>
  <si>
    <t>01007:制服・ユニフォーム</t>
  </si>
  <si>
    <t>02007:洋食</t>
  </si>
  <si>
    <t>03007:マッサージ</t>
  </si>
  <si>
    <t>05007:ホームセンター</t>
  </si>
  <si>
    <t>06007:バイク便</t>
  </si>
  <si>
    <t>07007:レジャー施設・レクリエーション・アウトドア</t>
  </si>
  <si>
    <t>08007:観光案内</t>
  </si>
  <si>
    <t>09007:ホビーショップ</t>
  </si>
  <si>
    <t>10007:広告・マーケティング・印刷</t>
  </si>
  <si>
    <t>11007:獣医</t>
  </si>
  <si>
    <t>12007:ダンス教室</t>
  </si>
  <si>
    <t>08000:観光・宿泊</t>
    <phoneticPr fontId="3"/>
  </si>
  <si>
    <t>01008:呉服・着物</t>
  </si>
  <si>
    <t>02008:中華</t>
  </si>
  <si>
    <t>03008:脱毛</t>
  </si>
  <si>
    <t>05008:カー用品店</t>
  </si>
  <si>
    <t>06008:リムジン・ハイヤー</t>
  </si>
  <si>
    <t>07008:スポーツ施設</t>
  </si>
  <si>
    <t>08008:その他観光・宿泊</t>
  </si>
  <si>
    <t>09008:ペットショップ</t>
  </si>
  <si>
    <t>10008:不動産（分譲）</t>
  </si>
  <si>
    <t>11008:整体・鍼灸</t>
  </si>
  <si>
    <t>12008:音楽教室・楽器教室</t>
  </si>
  <si>
    <t>09000:小売</t>
  </si>
  <si>
    <t>01009:その他ファッション</t>
  </si>
  <si>
    <t>02009:フレンチ料理</t>
  </si>
  <si>
    <t>03009:発毛・育毛</t>
  </si>
  <si>
    <t>05009:その他百貨店・量販店・専門店</t>
  </si>
  <si>
    <t>06009:ロープウェー</t>
  </si>
  <si>
    <t>07009:フィットネスクラブ</t>
  </si>
  <si>
    <t>09009:楽器</t>
  </si>
  <si>
    <t>10009:不動産（賃貸）</t>
  </si>
  <si>
    <t>11009:美容整形</t>
  </si>
  <si>
    <t>12009:料理教室</t>
  </si>
  <si>
    <t>10000:専門サービス</t>
  </si>
  <si>
    <t>02010:イタリアン料理</t>
  </si>
  <si>
    <t>03010:その他美容</t>
  </si>
  <si>
    <t>06010:船舶・船</t>
  </si>
  <si>
    <t>07010:インターネットカフェ・漫画喫茶</t>
  </si>
  <si>
    <t>09010:スポーツ用具</t>
  </si>
  <si>
    <t>10010:レンタルオフィス・コワーキングスペース</t>
  </si>
  <si>
    <t>11010:その他医療</t>
  </si>
  <si>
    <t>12010:芸術・アート教室</t>
  </si>
  <si>
    <t>11000:医療</t>
  </si>
  <si>
    <t>02011:その他各国料理</t>
  </si>
  <si>
    <t>06011:その他交通・運送・運輸関連サービス</t>
  </si>
  <si>
    <t>07011:銭湯・サウナ・岩盤浴・健康ランド</t>
  </si>
  <si>
    <t>09011:写真屋</t>
  </si>
  <si>
    <t>10011:デザイン</t>
  </si>
  <si>
    <t>12011:大学</t>
  </si>
  <si>
    <t>12000:教育・習い事</t>
    <phoneticPr fontId="3"/>
  </si>
  <si>
    <t>02012:居酒屋</t>
  </si>
  <si>
    <t>07012:カラオケ</t>
  </si>
  <si>
    <t>09012:自動車</t>
  </si>
  <si>
    <t>10012:ウェブデザイン</t>
  </si>
  <si>
    <t>12012:専門学校</t>
  </si>
  <si>
    <t>13000:非営利・団体</t>
    <phoneticPr fontId="3"/>
  </si>
  <si>
    <t>02013:ラーメン</t>
  </si>
  <si>
    <t>07013:ゴルフ場・ゴルフ練習場</t>
  </si>
  <si>
    <t>09013:バイク</t>
  </si>
  <si>
    <t>10013:パソコン・周辺機器・修理保守関連サービス</t>
  </si>
  <si>
    <t>12013:その他教室・習い事</t>
  </si>
  <si>
    <t>02014:バー・クラブ・スナック</t>
  </si>
  <si>
    <t>07014:その他レジャー・エンターテイメント・フィットネス</t>
  </si>
  <si>
    <t>09014:自転車</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</si>
  <si>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</si>
  <si>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</si>
  <si>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</si>
  <si>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</si>
  <si>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</si>
  <si>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</si>
  <si>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</si>
  <si>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02017:その他飲食</t>
  </si>
  <si>
    <t>09017:賃貸・レンタル</t>
  </si>
  <si>
    <t>10017:配管工事・水道設備</t>
  </si>
  <si>
    <t>09018:電気機器</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</si>
  <si>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</si>
  <si>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</si>
  <si>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</si>
  <si>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</si>
  <si>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</si>
  <si>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</si>
  <si>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</si>
  <si>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</si>
  <si>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10022:害虫駆除</t>
  </si>
  <si>
    <t>09023:骨董品</t>
  </si>
  <si>
    <t>10023:造園</t>
  </si>
  <si>
    <t>09024:フリーマーケット</t>
  </si>
  <si>
    <t>10024:便利屋</t>
  </si>
  <si>
    <t>09025:その他小売</t>
  </si>
  <si>
    <t>10025:会計</t>
  </si>
  <si>
    <t>10026:写真スタジオ・フォトグラファー</t>
  </si>
  <si>
    <t>10027:カウンセリング</t>
  </si>
  <si>
    <t>10028:司法サービス</t>
  </si>
  <si>
    <t>10029:介護ビジネス</t>
  </si>
  <si>
    <t>10030:結婚相談所・紹介所</t>
  </si>
  <si>
    <t>10031:会員権取引</t>
  </si>
  <si>
    <t>10032:その他専門サービス</t>
  </si>
  <si>
    <t>Map掲載</t>
    <rPh sb="3" eb="5">
      <t>ケイサイ</t>
    </rPh>
    <phoneticPr fontId="3"/>
  </si>
  <si>
    <t>掲載する</t>
    <rPh sb="0" eb="2">
      <t>ケイサイ</t>
    </rPh>
    <phoneticPr fontId="3"/>
  </si>
  <si>
    <t>掲載しない</t>
    <rPh sb="0" eb="2">
      <t>ケイサイ</t>
    </rPh>
    <phoneticPr fontId="3"/>
  </si>
  <si>
    <t>詳細</t>
    <rPh sb="0" eb="2">
      <t>ショウサイ</t>
    </rPh>
    <phoneticPr fontId="3"/>
  </si>
  <si>
    <t>←LINE Pay判定</t>
  </si>
  <si>
    <t>←Origami判定</t>
  </si>
  <si>
    <t>※M型はSIM申込ありにする</t>
    <rPh sb="2" eb="3">
      <t>ガタ</t>
    </rPh>
    <phoneticPr fontId="3"/>
  </si>
  <si>
    <t>リアルクレジット</t>
  </si>
  <si>
    <t>【個数】バーコードリーダー</t>
  </si>
  <si>
    <t>【単価】VEGA3000C-Touch</t>
  </si>
  <si>
    <t>【単価】VEGA3000C-Touch LTE</t>
  </si>
  <si>
    <t>【単価】VEGA3000M-Touch</t>
  </si>
  <si>
    <t>【単価】VEGA3000P-Touch</t>
  </si>
  <si>
    <t>【単価】ロール紙（10巻/箱）</t>
    <rPh sb="7" eb="8">
      <t>シ</t>
    </rPh>
    <rPh sb="11" eb="12">
      <t>マキ</t>
    </rPh>
    <rPh sb="13" eb="14">
      <t>ハコ</t>
    </rPh>
    <phoneticPr fontId="2"/>
  </si>
  <si>
    <t>【単価】POS連動ケーブル（1m）</t>
    <rPh sb="1" eb="3">
      <t>タンカ</t>
    </rPh>
    <phoneticPr fontId="2"/>
  </si>
  <si>
    <t>【単価】POS連動ケーブル（3m）</t>
    <rPh sb="1" eb="3">
      <t>タンカ</t>
    </rPh>
    <phoneticPr fontId="2"/>
  </si>
  <si>
    <t>【単価】シガーアダプター</t>
    <rPh sb="1" eb="3">
      <t>タンカ</t>
    </rPh>
    <phoneticPr fontId="2"/>
  </si>
  <si>
    <t>【単価】バーコードリーダー</t>
    <rPh sb="1" eb="3">
      <t>タンカ</t>
    </rPh>
    <phoneticPr fontId="2"/>
  </si>
  <si>
    <t>2ZY</t>
  </si>
  <si>
    <t>2ZX</t>
  </si>
  <si>
    <t>2ZW</t>
  </si>
  <si>
    <t>2ZV</t>
  </si>
  <si>
    <t>2ZU</t>
  </si>
  <si>
    <t>2ZT</t>
  </si>
  <si>
    <t>2ZS</t>
  </si>
  <si>
    <t>2ZR</t>
  </si>
  <si>
    <t>2ZQ</t>
  </si>
  <si>
    <t>2ZP</t>
  </si>
  <si>
    <t>導入予定店舗数</t>
  </si>
  <si>
    <t>サイトID</t>
  </si>
  <si>
    <t>企業名英字</t>
  </si>
  <si>
    <t>d払い業態</t>
    <rPh sb="1" eb="2">
      <t>ハラ</t>
    </rPh>
    <phoneticPr fontId="2"/>
  </si>
  <si>
    <t>MAP掲載</t>
    <rPh sb="3" eb="5">
      <t>ケイサイ</t>
    </rPh>
    <phoneticPr fontId="2"/>
  </si>
  <si>
    <t>チャンネルID</t>
  </si>
  <si>
    <t>チャンネルシークレットキー</t>
  </si>
  <si>
    <t>取次経路</t>
    <rPh sb="0" eb="2">
      <t>トリツギ</t>
    </rPh>
    <rPh sb="2" eb="4">
      <t>ケイロ</t>
    </rPh>
    <phoneticPr fontId="2"/>
  </si>
  <si>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</si>
  <si>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</si>
  <si>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</si>
  <si>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</si>
  <si>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</si>
  <si>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</si>
  <si>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</si>
  <si>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</si>
  <si>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</si>
  <si>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</si>
  <si>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</si>
  <si>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ブランド名カナ</t>
    <rPh sb="4" eb="5">
      <t>メイ</t>
    </rPh>
    <phoneticPr fontId="2"/>
  </si>
  <si>
    <t>料率区分</t>
    <rPh sb="0" eb="2">
      <t>リョウリツ</t>
    </rPh>
    <rPh sb="2" eb="4">
      <t>クブン</t>
    </rPh>
    <phoneticPr fontId="2"/>
  </si>
  <si>
    <t>加盟店区分</t>
    <rPh sb="0" eb="2">
      <t>カメイ</t>
    </rPh>
    <rPh sb="2" eb="3">
      <t>テン</t>
    </rPh>
    <rPh sb="3" eb="5">
      <t>クブン</t>
    </rPh>
    <phoneticPr fontId="2"/>
  </si>
  <si>
    <t>フランチャイズ特約有無</t>
  </si>
  <si>
    <t>公式アカウント申込</t>
  </si>
  <si>
    <t>個人情報利用目的同意</t>
    <rPh sb="0" eb="2">
      <t>コジン</t>
    </rPh>
    <rPh sb="2" eb="4">
      <t>ジョウホウ</t>
    </rPh>
    <rPh sb="4" eb="8">
      <t>リヨウモクテキ</t>
    </rPh>
    <rPh sb="8" eb="10">
      <t>ドウイ</t>
    </rPh>
    <phoneticPr fontId="2"/>
  </si>
  <si>
    <t>公式アカウント初期費用</t>
  </si>
  <si>
    <t>法人名中国語</t>
  </si>
  <si>
    <t>店舗名中国語</t>
  </si>
  <si>
    <t>ブランド名中国語</t>
  </si>
  <si>
    <t>サービス概要中国語</t>
  </si>
  <si>
    <t>店舗電話番号(国際)</t>
    <rPh sb="7" eb="9">
      <t>コクサイ</t>
    </rPh>
    <phoneticPr fontId="2"/>
  </si>
  <si>
    <t>ビジネスカテゴリ</t>
  </si>
  <si>
    <t>加盟店分類(MCC)</t>
  </si>
  <si>
    <t>PV4</t>
  </si>
  <si>
    <t>PV5</t>
  </si>
  <si>
    <t>PV6</t>
  </si>
  <si>
    <t>PV7</t>
  </si>
  <si>
    <t>PV8</t>
  </si>
  <si>
    <t>PV9</t>
  </si>
  <si>
    <t>PVA</t>
  </si>
  <si>
    <t>PVB</t>
  </si>
  <si>
    <t>PVC</t>
  </si>
  <si>
    <t>PVD</t>
  </si>
  <si>
    <t>0=無し、1=有り</t>
  </si>
  <si>
    <t>ビジネスカテゴリ</t>
    <phoneticPr fontId="3"/>
  </si>
  <si>
    <t>店舗住所中国語</t>
    <rPh sb="2" eb="4">
      <t>ジュウショ</t>
    </rPh>
    <phoneticPr fontId="2"/>
  </si>
  <si>
    <t>PW4</t>
  </si>
  <si>
    <t>PW5</t>
  </si>
  <si>
    <t>PW6</t>
  </si>
  <si>
    <t>PW7</t>
  </si>
  <si>
    <t>PW8</t>
  </si>
  <si>
    <t>会社電話番号(国際)</t>
  </si>
  <si>
    <t>PW9</t>
  </si>
  <si>
    <t>屋号アルファベット</t>
    <rPh sb="0" eb="2">
      <t>ヤゴウ</t>
    </rPh>
    <phoneticPr fontId="2"/>
  </si>
  <si>
    <t>PZA</t>
  </si>
  <si>
    <t>PZ6</t>
  </si>
  <si>
    <t>PZ7</t>
  </si>
  <si>
    <t>PZ8</t>
  </si>
  <si>
    <t>PZ9</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</si>
  <si>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</si>
  <si>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</si>
  <si>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</si>
  <si>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</si>
  <si>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</si>
  <si>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</si>
  <si>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</si>
  <si>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</si>
  <si>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</si>
  <si>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</si>
  <si>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</si>
  <si>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</si>
  <si>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</si>
  <si>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</si>
  <si>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</si>
  <si>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</si>
  <si>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</si>
  <si>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</si>
  <si>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</si>
  <si>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</si>
  <si>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</si>
  <si>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</si>
  <si>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</si>
  <si>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</si>
  <si>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</si>
  <si>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</si>
  <si>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</si>
  <si>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</si>
  <si>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</si>
  <si>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</si>
  <si>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</si>
  <si>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</si>
  <si>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</si>
  <si>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</si>
  <si>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</si>
  <si>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</si>
  <si>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</si>
  <si>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</si>
  <si>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</si>
  <si>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</si>
  <si>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</si>
  <si>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</si>
  <si>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</si>
  <si>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</si>
  <si>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</si>
  <si>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</si>
  <si>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</si>
  <si>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</si>
  <si>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</si>
  <si>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</si>
  <si>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</si>
  <si>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</si>
  <si>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</si>
  <si>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</si>
  <si>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</si>
  <si>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</si>
  <si>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</si>
  <si>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</si>
  <si>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</si>
  <si>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</si>
  <si>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</si>
  <si>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</si>
  <si>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</si>
  <si>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</si>
  <si>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</si>
  <si>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</si>
  <si>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</si>
  <si>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</si>
  <si>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</si>
  <si>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</si>
  <si>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0:標準、1:特別</t>
  </si>
  <si>
    <t>1:大手、2:個店</t>
  </si>
  <si>
    <t>0=表示する、1=表示しない</t>
  </si>
  <si>
    <t>Q0D</t>
  </si>
  <si>
    <t>Q0E</t>
  </si>
  <si>
    <t>Q0F</t>
  </si>
  <si>
    <t>Q0G</t>
  </si>
  <si>
    <t>PayPayフランチャイズ特約:</t>
    <phoneticPr fontId="3"/>
  </si>
  <si>
    <t>0:無</t>
  </si>
  <si>
    <t>93701</t>
  </si>
  <si>
    <t>Q12</t>
  </si>
  <si>
    <t>Q13</t>
  </si>
  <si>
    <t>93801</t>
  </si>
  <si>
    <t>Q22</t>
  </si>
  <si>
    <t>Q23</t>
  </si>
  <si>
    <t>Q24</t>
  </si>
  <si>
    <t>Q25</t>
  </si>
  <si>
    <t>0:非公開、1:公開</t>
  </si>
  <si>
    <t>93901</t>
  </si>
  <si>
    <t>Q32</t>
  </si>
  <si>
    <t>Q33</t>
  </si>
  <si>
    <t>Q34</t>
  </si>
  <si>
    <t>Q35</t>
  </si>
  <si>
    <t>Q36</t>
  </si>
  <si>
    <t>3033:ソフトバンク株式会社</t>
    <rPh sb="11" eb="13">
      <t>カブシキ</t>
    </rPh>
    <rPh sb="13" eb="15">
      <t>カイシャ</t>
    </rPh>
    <phoneticPr fontId="3"/>
  </si>
  <si>
    <t>6034:マックスコネクト株式会社</t>
  </si>
  <si>
    <t>6036:まいどソリューションズ株式会社</t>
  </si>
  <si>
    <t>6037:株式会社GRACE</t>
  </si>
  <si>
    <t>6038:株式会社大仏</t>
  </si>
  <si>
    <t>6039:株式会社サイモンズ</t>
  </si>
  <si>
    <t>6040:株式会社コネクト</t>
  </si>
  <si>
    <t>6042:ペタビット株式会社</t>
  </si>
  <si>
    <t>6044:SB C&amp;S株式会社</t>
  </si>
  <si>
    <t>6045:株式会社グッドフェローズ</t>
  </si>
  <si>
    <t>6048:株式会社NIS</t>
  </si>
  <si>
    <t>6028:株式会社ミューチュアルトラスト</t>
  </si>
  <si>
    <t>6032:グース株式会社</t>
  </si>
  <si>
    <t>Q37</t>
  </si>
  <si>
    <t>Q38</t>
  </si>
  <si>
    <t>Q39</t>
  </si>
  <si>
    <t>Q3A</t>
  </si>
  <si>
    <t>Q3B</t>
  </si>
  <si>
    <t>Q3C</t>
  </si>
  <si>
    <t>Q3D</t>
  </si>
  <si>
    <t>1:担当営業、2:専用URL</t>
  </si>
  <si>
    <t xml:space="preserve">1:加盟店名、2:店舗名(ブランド) </t>
  </si>
  <si>
    <t>0:利用しない、1:利用する</t>
  </si>
  <si>
    <t>94201</t>
  </si>
  <si>
    <t>Q62</t>
  </si>
  <si>
    <t>Q63</t>
  </si>
  <si>
    <t>Q64</t>
  </si>
  <si>
    <t>Q65</t>
  </si>
  <si>
    <t>メルペイ</t>
    <phoneticPr fontId="3"/>
  </si>
  <si>
    <t>フランチャイズ展開：</t>
    <rPh sb="7" eb="9">
      <t>テンカイ</t>
    </rPh>
    <phoneticPr fontId="3"/>
  </si>
  <si>
    <t>1300:電子機器</t>
  </si>
  <si>
    <t>カテゴリー</t>
    <phoneticPr fontId="3"/>
  </si>
  <si>
    <t>1303:携帯電話</t>
  </si>
  <si>
    <t>●メルペイ業種</t>
    <rPh sb="5" eb="7">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</si>
  <si>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</si>
  <si>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</si>
  <si>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</si>
  <si>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</si>
  <si>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</si>
  <si>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</si>
  <si>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</si>
  <si>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</si>
  <si>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</si>
  <si>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</si>
  <si>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</si>
  <si>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</si>
  <si>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オンラインサービス</t>
  </si>
  <si>
    <t>無人端末</t>
  </si>
  <si>
    <t>1000:飲食</t>
  </si>
  <si>
    <t>1001:飲食店</t>
  </si>
  <si>
    <t>1101:百貨店・デパート・ショッピングモール</t>
  </si>
  <si>
    <t>1201:食料品全般</t>
  </si>
  <si>
    <t>1301:生活家電・パソコン</t>
  </si>
  <si>
    <t>1401:おもちゃ（フィギュア、カード含む）</t>
  </si>
  <si>
    <t>1501:生活雑貨</t>
  </si>
  <si>
    <t>1601:衣服</t>
  </si>
  <si>
    <t>1701:理髪店・美容院</t>
  </si>
  <si>
    <t>1801:宿泊代</t>
  </si>
  <si>
    <t>1901:託児所・幼稚園・保育園</t>
  </si>
  <si>
    <t>2001:新車販売（車・バイク）</t>
  </si>
  <si>
    <t>2101:鉄道・バス</t>
  </si>
  <si>
    <t>2201:電気・ガス・水道</t>
  </si>
  <si>
    <t>2301:病院</t>
  </si>
  <si>
    <t>2401:結婚相談所</t>
  </si>
  <si>
    <t>2501:結婚式場・ブライダルサービス</t>
  </si>
  <si>
    <t>2601:映画</t>
  </si>
  <si>
    <t>2701:寺院・神社・教会</t>
  </si>
  <si>
    <t>2801:オンラインゲーム</t>
  </si>
  <si>
    <t>2901:自動販売機</t>
  </si>
  <si>
    <t>1100:小売総合</t>
  </si>
  <si>
    <t>1002:居酒屋・バー</t>
  </si>
  <si>
    <t>1102:総合日用品</t>
  </si>
  <si>
    <t>1202:酒屋</t>
  </si>
  <si>
    <t>1302:カメラ・映像機器</t>
  </si>
  <si>
    <t>1402:楽器・楽譜</t>
  </si>
  <si>
    <t>1502:家具</t>
  </si>
  <si>
    <t>1602:靴</t>
  </si>
  <si>
    <t>1702:ネイルサロン・まつげエクステ</t>
  </si>
  <si>
    <t>1802:銭湯・温泉</t>
  </si>
  <si>
    <t>1902:ベビーシッター</t>
  </si>
  <si>
    <t>2002:中古車販売（車・バイク）</t>
  </si>
  <si>
    <t>2102:航空券・乗船券</t>
  </si>
  <si>
    <t>2202:通話料・プロバイダー料</t>
  </si>
  <si>
    <t>2302:美容整形</t>
  </si>
  <si>
    <t>2402:弁護士事務所</t>
  </si>
  <si>
    <t>2502:葬祭業・葬儀場</t>
  </si>
  <si>
    <t>2602:劇場・歌舞伎・ミュージカル</t>
  </si>
  <si>
    <t>2702:レンタルサービス</t>
  </si>
  <si>
    <t>2802:デジタルコンテンツ</t>
  </si>
  <si>
    <t>2902:自動精算機</t>
  </si>
  <si>
    <t>1200:食料品</t>
  </si>
  <si>
    <t>1003:スナック・クラブ・キャバレー</t>
  </si>
  <si>
    <t>1103:ドラッグストア</t>
  </si>
  <si>
    <t>1403:スポーツ用品</t>
  </si>
  <si>
    <t>1503:花</t>
  </si>
  <si>
    <t>1603:宝石・ジュエリー・腕時計</t>
  </si>
  <si>
    <t>1703:エステティシャン</t>
  </si>
  <si>
    <t>1803:アウトドア施設</t>
  </si>
  <si>
    <t>1903:学習塾・予備校・幼児教室</t>
  </si>
  <si>
    <t>2003:カー用品</t>
  </si>
  <si>
    <t>2103:レンタカー</t>
  </si>
  <si>
    <t>2303:医薬品</t>
  </si>
  <si>
    <t>2403:カウンセリング・コーチング</t>
  </si>
  <si>
    <t>2503:墓石・墓地</t>
  </si>
  <si>
    <t>2603:カラオケ・ゲームセンター</t>
  </si>
  <si>
    <t>2703:不明・該当なし</t>
  </si>
  <si>
    <t>2803:デジタルアプリケーション</t>
  </si>
  <si>
    <t>1004:デリバリー・ケータリング</t>
  </si>
  <si>
    <t>1104:コンビニエンスストア</t>
  </si>
  <si>
    <t>1404:園芸用品</t>
  </si>
  <si>
    <t>1504:ベビー用品</t>
  </si>
  <si>
    <t>1604:ファッションレンタル</t>
  </si>
  <si>
    <t>1704:マッサージ・カイロ</t>
  </si>
  <si>
    <t>1804:スポーツ施設・ジム</t>
  </si>
  <si>
    <t>1904:家庭教師・通信教育</t>
  </si>
  <si>
    <t>2004:自動車修理・車検</t>
  </si>
  <si>
    <t>2104:タクシー・運転代行・ハイヤー</t>
  </si>
  <si>
    <t>2304:歯科</t>
  </si>
  <si>
    <t>2404:探偵・興信所・警備</t>
  </si>
  <si>
    <t>2504:仏具・仏壇</t>
  </si>
  <si>
    <t>2604:コンサート・音楽イベント</t>
  </si>
  <si>
    <t>2804:その他Webサービス</t>
  </si>
  <si>
    <t>1400:ホビー</t>
  </si>
  <si>
    <t>1105:ホームセンター</t>
  </si>
  <si>
    <t>1405:美術品</t>
  </si>
  <si>
    <t>1505:ペット・ペット用品店・ペットホテル</t>
  </si>
  <si>
    <t>1705:化粧品・メイク用品</t>
  </si>
  <si>
    <t>1805:娯楽施設</t>
  </si>
  <si>
    <t>1905:パソコン教室・英会話・外国語教室</t>
  </si>
  <si>
    <t>2005:自転車販売・自転車用品・自転車修理</t>
  </si>
  <si>
    <t>2105:運送業・引越</t>
  </si>
  <si>
    <t>2305:整体・鍼灸</t>
  </si>
  <si>
    <t>2405:翻訳・通訳</t>
  </si>
  <si>
    <t>2605:博物館・美術館・科学館</t>
  </si>
  <si>
    <t>1500:暮らし</t>
  </si>
  <si>
    <t>1106:古本屋・リサイクルショップ</t>
  </si>
  <si>
    <t>1406:釣具</t>
  </si>
  <si>
    <t>1506:文房具・事務用品</t>
  </si>
  <si>
    <t>1706:その他スパ・サロン</t>
  </si>
  <si>
    <t>1806:駐車場</t>
  </si>
  <si>
    <t>1906:カルチャースクール</t>
  </si>
  <si>
    <t>2306:動物病院</t>
  </si>
  <si>
    <t>2406:人材派遣・職業紹介</t>
  </si>
  <si>
    <t>2606:旅行代理店・ガイド</t>
  </si>
  <si>
    <t>1600:ファッション</t>
  </si>
  <si>
    <t>1407:書籍</t>
  </si>
  <si>
    <t>1507:メガネ・コンタクトレンズ・補聴器</t>
  </si>
  <si>
    <t>1807:その他施設</t>
  </si>
  <si>
    <t>1907:自動車学校</t>
  </si>
  <si>
    <t>2307:介護施設・介護サービス</t>
  </si>
  <si>
    <t>2407:占い</t>
  </si>
  <si>
    <t>1700:美容</t>
  </si>
  <si>
    <t>1408:CD・DVD・ゲーム</t>
  </si>
  <si>
    <t>1508:ガソリン・灯油</t>
  </si>
  <si>
    <t>1908:コンサルティング・セミナー</t>
  </si>
  <si>
    <t>2308:児童福祉施設・児童福祉サービス</t>
  </si>
  <si>
    <t>2408:修理サービス</t>
  </si>
  <si>
    <t>1800:宿泊・娯楽・スポーツ等施設</t>
  </si>
  <si>
    <t>1509:リフォーム</t>
  </si>
  <si>
    <t>2309:その他医療</t>
  </si>
  <si>
    <t>2409:その他専門サービス</t>
  </si>
  <si>
    <t>1900:学習・教育・保育</t>
  </si>
  <si>
    <t>1510:購読・新聞</t>
  </si>
  <si>
    <t>2000:自動車関連</t>
  </si>
  <si>
    <t>1511:クリーニング</t>
  </si>
  <si>
    <t>2100:交通・輸送</t>
  </si>
  <si>
    <t>1512:たばこ（電子たばこ含む）</t>
  </si>
  <si>
    <t>2200:公共事業・通信</t>
  </si>
  <si>
    <t>2300:医療・介護</t>
  </si>
  <si>
    <t>2400:専門サービス</t>
  </si>
  <si>
    <t>2500:冠婚葬祭</t>
  </si>
  <si>
    <t>2600:エンタメ</t>
  </si>
  <si>
    <t>2700:その他</t>
  </si>
  <si>
    <t>2800:オンラインサービス</t>
  </si>
  <si>
    <t>2900:無人端末</t>
  </si>
  <si>
    <t>←メルペイ判定</t>
  </si>
  <si>
    <t>メルペイ</t>
    <phoneticPr fontId="3"/>
  </si>
  <si>
    <t>941001</t>
  </si>
  <si>
    <t>業種</t>
    <rPh sb="0" eb="2">
      <t>ギョウシュ</t>
    </rPh>
    <phoneticPr fontId="2"/>
  </si>
  <si>
    <t>カテゴリ</t>
  </si>
  <si>
    <t>1:リアル決済、2:ネット決済</t>
  </si>
  <si>
    <t>FC展開有無</t>
  </si>
  <si>
    <t>0:無し、1:有り</t>
  </si>
  <si>
    <t>一覧掲載可否</t>
  </si>
  <si>
    <t>94101</t>
  </si>
  <si>
    <t>Q52</t>
  </si>
  <si>
    <t>Q53</t>
  </si>
  <si>
    <t>Q54</t>
  </si>
  <si>
    <t>Q55</t>
  </si>
  <si>
    <t>Q57</t>
  </si>
  <si>
    <t>Q58</t>
  </si>
  <si>
    <t>バーコードリーダー（SmartBox C）</t>
    <phoneticPr fontId="3"/>
  </si>
  <si>
    <t>Q56</t>
  </si>
  <si>
    <t>ブランド名</t>
    <rPh sb="4" eb="5">
      <t>メイ</t>
    </rPh>
    <phoneticPr fontId="3"/>
  </si>
  <si>
    <r>
      <t xml:space="preserve">業種
</t>
    </r>
    <r>
      <rPr>
        <sz val="10"/>
        <rFont val="Meiryo UI"/>
        <family val="3"/>
        <charset val="128"/>
      </rPr>
      <t>(英語または中国語表記)</t>
    </r>
    <rPh sb="0" eb="2">
      <t>ギョウシュ</t>
    </rPh>
    <rPh sb="4" eb="6">
      <t>エイゴ</t>
    </rPh>
    <rPh sb="9" eb="12">
      <t>チュウゴクゴ</t>
    </rPh>
    <rPh sb="12" eb="14">
      <t>ヒョウキ</t>
    </rPh>
    <phoneticPr fontId="3"/>
  </si>
  <si>
    <r>
      <rPr>
        <sz val="12"/>
        <rFont val="Meiryo UI"/>
        <family val="3"/>
        <charset val="128"/>
      </rPr>
      <t>法人名</t>
    </r>
    <r>
      <rPr>
        <sz val="11"/>
        <rFont val="Meiryo UI"/>
        <family val="3"/>
        <charset val="128"/>
      </rPr>
      <t xml:space="preserve">
（個人事業主の
場合は個人名）</t>
    </r>
    <rPh sb="0" eb="2">
      <t>ホウジン</t>
    </rPh>
    <rPh sb="2" eb="3">
      <t>メイ</t>
    </rPh>
    <rPh sb="5" eb="7">
      <t>コジン</t>
    </rPh>
    <rPh sb="7" eb="10">
      <t>ジギョウヌシ</t>
    </rPh>
    <rPh sb="12" eb="14">
      <t>バアイ</t>
    </rPh>
    <rPh sb="15" eb="18">
      <t>コジンメイ</t>
    </rPh>
    <phoneticPr fontId="3"/>
  </si>
  <si>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</si>
  <si>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</si>
  <si>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SBPS公司</t>
    <phoneticPr fontId="3"/>
  </si>
  <si>
    <t>SBPS SHOUJI</t>
    <phoneticPr fontId="3"/>
  </si>
  <si>
    <r>
      <t xml:space="preserve">業種
</t>
    </r>
    <r>
      <rPr>
        <sz val="10"/>
        <rFont val="Meiryo UI"/>
        <family val="3"/>
        <charset val="128"/>
      </rPr>
      <t>(英語または中国語表記)</t>
    </r>
    <rPh sb="0" eb="2">
      <t>ギョウシュ</t>
    </rPh>
    <rPh sb="9" eb="12">
      <t>チュウゴクゴ</t>
    </rPh>
    <rPh sb="12" eb="14">
      <t>ヒョウキ</t>
    </rPh>
    <phoneticPr fontId="3"/>
  </si>
  <si>
    <t>端末決済サービス エントリーシート
（本エクセルファイル）</t>
    <rPh sb="0" eb="2">
      <t>タンマツ</t>
    </rPh>
    <rPh sb="2" eb="4">
      <t>ケッサイ</t>
    </rPh>
    <rPh sb="19" eb="20">
      <t>ホン</t>
    </rPh>
    <phoneticPr fontId="3"/>
  </si>
  <si>
    <t>非</t>
    <rPh sb="0" eb="1">
      <t>ヒ</t>
    </rPh>
    <phoneticPr fontId="3"/>
  </si>
  <si>
    <t>キッティング費用</t>
    <phoneticPr fontId="3"/>
  </si>
  <si>
    <t>電子マネー初期登録費用</t>
    <phoneticPr fontId="3"/>
  </si>
  <si>
    <t>台</t>
    <rPh sb="0" eb="1">
      <t>ダイ</t>
    </rPh>
    <phoneticPr fontId="3"/>
  </si>
  <si>
    <t>クレジットカード初期登録費用</t>
    <phoneticPr fontId="3"/>
  </si>
  <si>
    <t>流入経路</t>
    <rPh sb="0" eb="2">
      <t>リュウニュウ</t>
    </rPh>
    <rPh sb="2" eb="4">
      <t>ケイロ</t>
    </rPh>
    <phoneticPr fontId="3"/>
  </si>
  <si>
    <t>その他送付先</t>
    <rPh sb="2" eb="3">
      <t>タ</t>
    </rPh>
    <rPh sb="3" eb="6">
      <t>ソウフサキ</t>
    </rPh>
    <phoneticPr fontId="3"/>
  </si>
  <si>
    <t>名称</t>
    <rPh sb="0" eb="2">
      <t>メイショウ</t>
    </rPh>
    <phoneticPr fontId="3"/>
  </si>
  <si>
    <t>住所</t>
    <rPh sb="0" eb="2">
      <t>ジュウショ</t>
    </rPh>
    <phoneticPr fontId="3"/>
  </si>
  <si>
    <t>〶</t>
    <phoneticPr fontId="3"/>
  </si>
  <si>
    <t>電話番号</t>
    <rPh sb="0" eb="2">
      <t>デンワ</t>
    </rPh>
    <rPh sb="2" eb="4">
      <t>バンゴウ</t>
    </rPh>
    <phoneticPr fontId="3"/>
  </si>
  <si>
    <r>
      <t xml:space="preserve">その他送付先
</t>
    </r>
    <r>
      <rPr>
        <sz val="10"/>
        <color rgb="FFFF6600"/>
        <rFont val="Meiryo UI"/>
        <family val="3"/>
        <charset val="128"/>
      </rPr>
      <t xml:space="preserve">※送付先情報をご入力ください。
</t>
    </r>
    <rPh sb="2" eb="3">
      <t>タ</t>
    </rPh>
    <rPh sb="3" eb="6">
      <t>ソウフサキ</t>
    </rPh>
    <rPh sb="8" eb="11">
      <t>ソウフサキ</t>
    </rPh>
    <rPh sb="11" eb="13">
      <t>ジョウホウ</t>
    </rPh>
    <rPh sb="15" eb="17">
      <t>ニュウリョク</t>
    </rPh>
    <phoneticPr fontId="3"/>
  </si>
  <si>
    <t>6046:べスカ株式会社</t>
  </si>
  <si>
    <t>6050:株式会社DSテクノロジーズ</t>
  </si>
  <si>
    <t>6052:大江電機株式会社</t>
  </si>
  <si>
    <t>1627445</t>
    <phoneticPr fontId="3"/>
  </si>
  <si>
    <t>1627445</t>
    <phoneticPr fontId="3"/>
  </si>
  <si>
    <t>渡辺英郎</t>
    <phoneticPr fontId="3"/>
  </si>
  <si>
    <r>
      <rPr>
        <sz val="10"/>
        <color rgb="FFFF0000"/>
        <rFont val="ＭＳ Ｐゴシック"/>
        <family val="3"/>
        <charset val="128"/>
        <scheme val="major"/>
      </rPr>
      <t>流入経路パートナーID</t>
    </r>
    <r>
      <rPr>
        <sz val="10"/>
        <rFont val="ＭＳ Ｐゴシック"/>
        <family val="3"/>
        <charset val="128"/>
        <scheme val="major"/>
      </rPr>
      <t xml:space="preserve"> (シガーアダプター)</t>
    </r>
    <phoneticPr fontId="3"/>
  </si>
  <si>
    <t>JCB取り扱いブランド</t>
    <rPh sb="3" eb="4">
      <t>ト</t>
    </rPh>
    <rPh sb="5" eb="6">
      <t>アツカ</t>
    </rPh>
    <phoneticPr fontId="4"/>
  </si>
  <si>
    <t>利用する</t>
    <rPh sb="0" eb="2">
      <t>リヨウ</t>
    </rPh>
    <phoneticPr fontId="3"/>
  </si>
  <si>
    <t>ご利用にあたって</t>
    <phoneticPr fontId="3"/>
  </si>
  <si>
    <t>6061:株式会社ハイブリッド</t>
    <rPh sb="5" eb="7">
      <t>カブシキ</t>
    </rPh>
    <rPh sb="7" eb="9">
      <t>カイシャ</t>
    </rPh>
    <phoneticPr fontId="4"/>
  </si>
  <si>
    <t>6064:シンフォニアエンジニアリング株式会社</t>
  </si>
  <si>
    <t>6065:SB C&amp;S株式会社</t>
    <rPh sb="11" eb="13">
      <t>カブシキ</t>
    </rPh>
    <rPh sb="13" eb="15">
      <t>カイシャ</t>
    </rPh>
    <phoneticPr fontId="4"/>
  </si>
  <si>
    <t>1629244</t>
    <phoneticPr fontId="3"/>
  </si>
  <si>
    <t>堀内直也</t>
    <phoneticPr fontId="3"/>
  </si>
  <si>
    <t>1631038</t>
    <phoneticPr fontId="3"/>
  </si>
  <si>
    <t>加藤 秀明</t>
    <phoneticPr fontId="3"/>
  </si>
  <si>
    <t>1627843</t>
  </si>
  <si>
    <t>井出 直希</t>
    <phoneticPr fontId="3"/>
  </si>
  <si>
    <t>1629564</t>
    <phoneticPr fontId="3"/>
  </si>
  <si>
    <t>釘﨑 琢也</t>
    <phoneticPr fontId="3"/>
  </si>
  <si>
    <t>1629452</t>
    <phoneticPr fontId="3"/>
  </si>
  <si>
    <t>大出 智史</t>
    <phoneticPr fontId="3"/>
  </si>
  <si>
    <t>1630786</t>
    <phoneticPr fontId="3"/>
  </si>
  <si>
    <t>1630786</t>
    <phoneticPr fontId="3"/>
  </si>
  <si>
    <t>西山 講平</t>
    <phoneticPr fontId="3"/>
  </si>
  <si>
    <t>1613012</t>
    <phoneticPr fontId="3"/>
  </si>
  <si>
    <t>工藤 宰民</t>
    <phoneticPr fontId="3"/>
  </si>
  <si>
    <t>1603239</t>
    <phoneticPr fontId="3"/>
  </si>
  <si>
    <t>1603239</t>
    <phoneticPr fontId="3"/>
  </si>
  <si>
    <t>三浦 由衣</t>
    <phoneticPr fontId="3"/>
  </si>
  <si>
    <t>1605385</t>
    <phoneticPr fontId="3"/>
  </si>
  <si>
    <t>1605385</t>
    <phoneticPr fontId="3"/>
  </si>
  <si>
    <t>大西 敬二</t>
    <phoneticPr fontId="3"/>
  </si>
  <si>
    <t>決済機関CD</t>
    <rPh sb="0" eb="2">
      <t>ケッサイ</t>
    </rPh>
    <rPh sb="2" eb="4">
      <t>キカン</t>
    </rPh>
    <phoneticPr fontId="3"/>
  </si>
  <si>
    <t>10702</t>
    <phoneticPr fontId="3"/>
  </si>
  <si>
    <t>iD 処理未了分</t>
  </si>
  <si>
    <t>WAON 処理未了分</t>
  </si>
  <si>
    <t>nanaco 処理未了分</t>
  </si>
  <si>
    <t>JCB</t>
  </si>
  <si>
    <t>5411</t>
  </si>
  <si>
    <t>5812</t>
  </si>
  <si>
    <t>7230</t>
  </si>
  <si>
    <t>銀聯</t>
    <rPh sb="0" eb="2">
      <t>ギンレン</t>
    </rPh>
    <phoneticPr fontId="2"/>
  </si>
  <si>
    <t>PZB</t>
  </si>
  <si>
    <t>Q26</t>
  </si>
  <si>
    <t>7011</t>
  </si>
  <si>
    <t>5995</t>
  </si>
  <si>
    <t>←タイトル判定</t>
    <rPh sb="5" eb="7">
      <t>ハンテイ</t>
    </rPh>
    <phoneticPr fontId="3"/>
  </si>
  <si>
    <t>←タイトルKeyNo</t>
  </si>
  <si>
    <t>←タイトルKeyNo</t>
    <phoneticPr fontId="3"/>
  </si>
  <si>
    <t>←コード決済有無(記入シート2)</t>
    <rPh sb="4" eb="6">
      <t>ケッサイ</t>
    </rPh>
    <rPh sb="6" eb="8">
      <t>ウム</t>
    </rPh>
    <rPh sb="9" eb="11">
      <t>キニュウ</t>
    </rPh>
    <phoneticPr fontId="3"/>
  </si>
  <si>
    <t>←コード決済有無</t>
    <rPh sb="4" eb="6">
      <t>ケッサイ</t>
    </rPh>
    <rPh sb="6" eb="8">
      <t>ウム</t>
    </rPh>
    <phoneticPr fontId="3"/>
  </si>
  <si>
    <t>VISA</t>
  </si>
  <si>
    <t>Master</t>
  </si>
  <si>
    <t>10621</t>
  </si>
  <si>
    <t>10622</t>
  </si>
  <si>
    <t>10623</t>
  </si>
  <si>
    <t>10624</t>
  </si>
  <si>
    <t>10631</t>
  </si>
  <si>
    <t>10632</t>
  </si>
  <si>
    <t>10633</t>
  </si>
  <si>
    <t>10634</t>
  </si>
  <si>
    <t>10601</t>
  </si>
  <si>
    <t>15</t>
    <phoneticPr fontId="3"/>
  </si>
  <si>
    <t>申込方法：</t>
    <rPh sb="0" eb="2">
      <t>モウシコミ</t>
    </rPh>
    <rPh sb="2" eb="4">
      <t>ホウホウ</t>
    </rPh>
    <phoneticPr fontId="3"/>
  </si>
  <si>
    <t>包括</t>
  </si>
  <si>
    <t>非</t>
    <rPh sb="0" eb="1">
      <t>ヒ</t>
    </rPh>
    <phoneticPr fontId="3"/>
  </si>
  <si>
    <t>11201</t>
    <phoneticPr fontId="3"/>
  </si>
  <si>
    <t>11202</t>
    <phoneticPr fontId="3"/>
  </si>
  <si>
    <t xml:space="preserve"> ※税抜</t>
    <rPh sb="2" eb="4">
      <t>ゼイヌキ</t>
    </rPh>
    <phoneticPr fontId="3"/>
  </si>
  <si>
    <t>PASMO（東急）1</t>
    <rPh sb="6" eb="8">
      <t>トウキュウ</t>
    </rPh>
    <phoneticPr fontId="3"/>
  </si>
  <si>
    <t>JKOPAY</t>
    <phoneticPr fontId="3"/>
  </si>
  <si>
    <t>商品カテゴリ</t>
    <rPh sb="0" eb="2">
      <t>ショウヒン</t>
    </rPh>
    <phoneticPr fontId="3"/>
  </si>
  <si>
    <t>0000:選択してください</t>
    <rPh sb="5" eb="7">
      <t>センタク</t>
    </rPh>
    <phoneticPr fontId="141"/>
  </si>
  <si>
    <t>●auPAY業種</t>
  </si>
  <si>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</si>
  <si>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</si>
  <si>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</si>
  <si>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</si>
  <si>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</si>
  <si>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</si>
  <si>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</si>
  <si>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</si>
  <si>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</si>
  <si>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</si>
  <si>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</si>
  <si>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</si>
  <si>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</si>
  <si>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</si>
  <si>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</si>
  <si>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</si>
  <si>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</si>
  <si>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</si>
  <si>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</si>
  <si>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</si>
  <si>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</si>
  <si>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</si>
  <si>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JKOPAY商品1</t>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</si>
  <si>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</si>
  <si>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</si>
  <si>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</si>
  <si>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</si>
  <si>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</si>
  <si>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</si>
  <si>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</si>
  <si>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</si>
  <si>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</si>
  <si>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</si>
  <si>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</si>
  <si>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</si>
  <si>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</si>
  <si>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</si>
  <si>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</si>
  <si>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</si>
  <si>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</si>
  <si>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</si>
  <si>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</si>
  <si>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</si>
  <si>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</si>
  <si>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</si>
  <si>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</si>
  <si>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</si>
  <si>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</si>
  <si>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</si>
  <si>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</si>
  <si>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</si>
  <si>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</si>
  <si>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</si>
  <si>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</si>
  <si>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</si>
  <si>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3000:美容&amp;リラクゼーション</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</si>
  <si>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</si>
  <si>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</si>
  <si>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</si>
  <si>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</si>
  <si>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</si>
  <si>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</si>
  <si>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</si>
  <si>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</si>
  <si>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</si>
  <si>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</si>
  <si>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</si>
  <si>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</si>
  <si>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</si>
  <si>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</si>
  <si>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</si>
  <si>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</si>
  <si>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</si>
  <si>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</si>
  <si>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</si>
  <si>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</si>
  <si>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</si>
  <si>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</si>
  <si>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</si>
  <si>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</si>
  <si>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</si>
  <si>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</si>
  <si>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</si>
  <si>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</si>
  <si>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</si>
  <si>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</si>
  <si>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</si>
  <si>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</si>
  <si>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</si>
  <si>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</si>
  <si>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</si>
  <si>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</si>
  <si>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</si>
  <si>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</si>
  <si>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</si>
  <si>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</si>
  <si>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</si>
  <si>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</si>
  <si>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</si>
  <si>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←JKOPAY判定</t>
  </si>
  <si>
    <t>au PAY</t>
    <phoneticPr fontId="3"/>
  </si>
  <si>
    <t>業種（ジャンル）</t>
    <rPh sb="0" eb="2">
      <t>ギョウシュ</t>
    </rPh>
    <phoneticPr fontId="3"/>
  </si>
  <si>
    <t>使えるお店検索</t>
    <phoneticPr fontId="3"/>
  </si>
  <si>
    <t>表示する</t>
    <phoneticPr fontId="3"/>
  </si>
  <si>
    <t>電話番号のみ非表示</t>
    <phoneticPr fontId="3"/>
  </si>
  <si>
    <t>非表示</t>
    <phoneticPr fontId="3"/>
  </si>
  <si>
    <t>J-Coin Pay</t>
    <phoneticPr fontId="3"/>
  </si>
  <si>
    <t>使えるお店表示</t>
    <rPh sb="0" eb="1">
      <t>ツカ</t>
    </rPh>
    <rPh sb="4" eb="5">
      <t>ミセ</t>
    </rPh>
    <rPh sb="5" eb="7">
      <t>ヒョウジ</t>
    </rPh>
    <phoneticPr fontId="3"/>
  </si>
  <si>
    <t>　表示する</t>
    <rPh sb="1" eb="3">
      <t>ヒョウジ</t>
    </rPh>
    <phoneticPr fontId="3"/>
  </si>
  <si>
    <t>auPAY</t>
    <phoneticPr fontId="3"/>
  </si>
  <si>
    <t>J-Coin Pay</t>
  </si>
  <si>
    <t>標準価格
（税抜）</t>
    <rPh sb="0" eb="2">
      <t>ヒョウジュン</t>
    </rPh>
    <rPh sb="2" eb="4">
      <t>カカク</t>
    </rPh>
    <rPh sb="6" eb="8">
      <t>ゼイヌキ</t>
    </rPh>
    <phoneticPr fontId="3"/>
  </si>
  <si>
    <t>合計金額
（税抜）</t>
    <rPh sb="0" eb="2">
      <t>ゴウケイ</t>
    </rPh>
    <rPh sb="2" eb="4">
      <t>キンガク</t>
    </rPh>
    <rPh sb="6" eb="7">
      <t>ゼイ</t>
    </rPh>
    <rPh sb="7" eb="8">
      <t>ヌ</t>
    </rPh>
    <phoneticPr fontId="3"/>
  </si>
  <si>
    <t>JKOPAY</t>
  </si>
  <si>
    <t>QUICPay</t>
  </si>
  <si>
    <t>QUICPay</t>
    <phoneticPr fontId="3"/>
  </si>
  <si>
    <t>au PAY</t>
  </si>
  <si>
    <t>940</t>
  </si>
  <si>
    <t>943001</t>
  </si>
  <si>
    <t>944001</t>
  </si>
  <si>
    <t>112001</t>
  </si>
  <si>
    <t>QUICPay</t>
    <phoneticPr fontId="3"/>
  </si>
  <si>
    <t>業種(ジャンル)</t>
  </si>
  <si>
    <t>使えるお店検索表示状態</t>
  </si>
  <si>
    <t>1:表示、2:電話番号のみ非表示、3:全て非表示</t>
    <phoneticPr fontId="3"/>
  </si>
  <si>
    <t>94001</t>
  </si>
  <si>
    <t>Q44</t>
  </si>
  <si>
    <t>Q45</t>
  </si>
  <si>
    <t>Q46</t>
  </si>
  <si>
    <t>Q47</t>
  </si>
  <si>
    <t>←auPAYi判定</t>
    <phoneticPr fontId="3"/>
  </si>
  <si>
    <t>メイン商品カテゴリ</t>
    <rPh sb="3" eb="5">
      <t>ショウヒン</t>
    </rPh>
    <phoneticPr fontId="2"/>
  </si>
  <si>
    <t>サブ商品カテゴリ</t>
    <rPh sb="2" eb="4">
      <t>ショウヒン</t>
    </rPh>
    <phoneticPr fontId="2"/>
  </si>
  <si>
    <t>94301</t>
  </si>
  <si>
    <t>Q72</t>
  </si>
  <si>
    <t>Q73</t>
  </si>
  <si>
    <t>Q74</t>
  </si>
  <si>
    <t>Q75</t>
  </si>
  <si>
    <t>Q76</t>
  </si>
  <si>
    <t>Q77</t>
  </si>
  <si>
    <t>Q78</t>
  </si>
  <si>
    <t>Q79</t>
  </si>
  <si>
    <t>94401</t>
  </si>
  <si>
    <t>Q82</t>
  </si>
  <si>
    <t>Q83</t>
  </si>
  <si>
    <t>未使用</t>
    <rPh sb="0" eb="3">
      <t>ミシヨウ</t>
    </rPh>
    <phoneticPr fontId="3"/>
  </si>
  <si>
    <r>
      <rPr>
        <sz val="10"/>
        <color rgb="FFFF0000"/>
        <rFont val="ＭＳ Ｐゴシック"/>
        <family val="3"/>
        <charset val="128"/>
        <scheme val="major"/>
      </rPr>
      <t>【台数】モバイル決済端末（MIURA M010）</t>
    </r>
    <r>
      <rPr>
        <sz val="10"/>
        <rFont val="ＭＳ Ｐゴシック"/>
        <family val="3"/>
        <charset val="128"/>
        <scheme val="major"/>
      </rPr>
      <t>POS連動ケーブル（3m）</t>
    </r>
    <phoneticPr fontId="3"/>
  </si>
  <si>
    <t>Alipay</t>
    <phoneticPr fontId="3"/>
  </si>
  <si>
    <t>WeChat Pay</t>
    <phoneticPr fontId="3"/>
  </si>
  <si>
    <t>銀聯</t>
    <rPh sb="0" eb="2">
      <t>ギンレン</t>
    </rPh>
    <phoneticPr fontId="3"/>
  </si>
  <si>
    <t>JKOPAY</t>
    <phoneticPr fontId="3"/>
  </si>
  <si>
    <t>交通系</t>
  </si>
  <si>
    <t>交通系 処理未了分</t>
  </si>
  <si>
    <t>楽天Edy</t>
  </si>
  <si>
    <t>楽天Edy 処理未了分</t>
  </si>
  <si>
    <t>QUICPay 処理未了分</t>
  </si>
  <si>
    <t>●交通系精算先CD</t>
    <phoneticPr fontId="3"/>
  </si>
  <si>
    <t>店舗名 アルファベットまたは中国語表記</t>
    <rPh sb="0" eb="2">
      <t>テンポ</t>
    </rPh>
    <rPh sb="2" eb="3">
      <t>メイ</t>
    </rPh>
    <rPh sb="14" eb="17">
      <t>チュウゴクゴ</t>
    </rPh>
    <rPh sb="17" eb="19">
      <t>ヒョウキ</t>
    </rPh>
    <phoneticPr fontId="4"/>
  </si>
  <si>
    <t>SBPS商店　银座</t>
    <rPh sb="8" eb="9">
      <t>ザ</t>
    </rPh>
    <phoneticPr fontId="3"/>
  </si>
  <si>
    <t>2004:電子製品</t>
    <phoneticPr fontId="141"/>
  </si>
  <si>
    <t>6055:DiDiモビリティジャパン株式会社</t>
  </si>
  <si>
    <t>6063:ダイイチモビリティネットワークス株式会社</t>
  </si>
  <si>
    <t>6069:株式会社イイガ</t>
  </si>
  <si>
    <t>個人事業主</t>
    <rPh sb="0" eb="2">
      <t>コジン</t>
    </rPh>
    <rPh sb="2" eb="5">
      <t>ジギョウヌシ</t>
    </rPh>
    <phoneticPr fontId="3"/>
  </si>
  <si>
    <t>必要</t>
    <rPh sb="0" eb="2">
      <t>ヒツヨウ</t>
    </rPh>
    <phoneticPr fontId="3"/>
  </si>
  <si>
    <t>ー</t>
    <phoneticPr fontId="3"/>
  </si>
  <si>
    <t>以下のいずれかの確認書類の画像データ
PDFもしくは画像ファイル（jpg、gif、png形式)
①登記簿謄（抄）本
②現在（履歴）事項証明書
※交付日から3ヵ月以内の書類</t>
    <rPh sb="0" eb="2">
      <t>イカ</t>
    </rPh>
    <rPh sb="8" eb="10">
      <t>カクニン</t>
    </rPh>
    <rPh sb="10" eb="12">
      <t>ショルイ</t>
    </rPh>
    <rPh sb="13" eb="15">
      <t>ガゾウ</t>
    </rPh>
    <rPh sb="26" eb="28">
      <t>ガゾウ</t>
    </rPh>
    <rPh sb="44" eb="46">
      <t>ケイシキ</t>
    </rPh>
    <rPh sb="49" eb="52">
      <t>トウキボ</t>
    </rPh>
    <rPh sb="52" eb="53">
      <t>トウ</t>
    </rPh>
    <rPh sb="54" eb="55">
      <t>ショウ</t>
    </rPh>
    <rPh sb="56" eb="57">
      <t>ホン</t>
    </rPh>
    <rPh sb="59" eb="61">
      <t>ゲンザイ</t>
    </rPh>
    <rPh sb="62" eb="64">
      <t>リレキ</t>
    </rPh>
    <rPh sb="65" eb="67">
      <t>ジコウ</t>
    </rPh>
    <rPh sb="67" eb="70">
      <t>ショウメイショ</t>
    </rPh>
    <rPh sb="72" eb="75">
      <t>コウフビ</t>
    </rPh>
    <rPh sb="79" eb="80">
      <t>ゲツ</t>
    </rPh>
    <rPh sb="80" eb="82">
      <t>イナイ</t>
    </rPh>
    <rPh sb="83" eb="85">
      <t>ショルイ</t>
    </rPh>
    <phoneticPr fontId="3"/>
  </si>
  <si>
    <t>各種営業許可証等資格確認書類の画像データ
PDFもしくは画像ファイル（jpg、gif、png形式)</t>
    <phoneticPr fontId="3"/>
  </si>
  <si>
    <t>本人確認書類の画像データ
PDFもしくは画像ファイル（jpg、gif、png形式)</t>
    <phoneticPr fontId="3"/>
  </si>
  <si>
    <t>※「本人確認書類」はこのファイルとは別の宛先となります。メールの送付先を必ずご確認いただき、誤送信のないようご注意ください。</t>
    <rPh sb="18" eb="19">
      <t>ベツ</t>
    </rPh>
    <rPh sb="20" eb="22">
      <t>アテサキ</t>
    </rPh>
    <phoneticPr fontId="3"/>
  </si>
  <si>
    <t>QUICPay</t>
    <phoneticPr fontId="3"/>
  </si>
  <si>
    <r>
      <t xml:space="preserve">QUICPayのお取扱いをご希望の場合、✓をご記入ください。SBPSにてお申し込みのご希望を取次します。
</t>
    </r>
    <r>
      <rPr>
        <sz val="10"/>
        <color rgb="FFFF0000"/>
        <rFont val="Meiryo UI"/>
        <family val="3"/>
        <charset val="128"/>
      </rPr>
      <t>※お取次ぎのみとなりますので、対面取引におけるJCBとの経済条件・審査・精算についてはSBPSとの契約範囲に含まれません。予めご了承ください。
※JCB取り扱いブランドおよびiDとあわせてお申し込みいただく必要があります。</t>
    </r>
    <rPh sb="43" eb="45">
      <t>キボウ</t>
    </rPh>
    <rPh sb="55" eb="57">
      <t>トリツ</t>
    </rPh>
    <rPh sb="68" eb="70">
      <t>タイメン</t>
    </rPh>
    <rPh sb="70" eb="72">
      <t>トリヒキ</t>
    </rPh>
    <rPh sb="81" eb="83">
      <t>ケイザイ</t>
    </rPh>
    <rPh sb="83" eb="85">
      <t>ジョウケン</t>
    </rPh>
    <rPh sb="86" eb="88">
      <t>シンサ</t>
    </rPh>
    <rPh sb="89" eb="91">
      <t>セイサン</t>
    </rPh>
    <rPh sb="102" eb="104">
      <t>ケイヤク</t>
    </rPh>
    <rPh sb="104" eb="106">
      <t>ハンイ</t>
    </rPh>
    <rPh sb="107" eb="108">
      <t>フク</t>
    </rPh>
    <rPh sb="114" eb="115">
      <t>アラカジ</t>
    </rPh>
    <rPh sb="117" eb="119">
      <t>リョウショウ</t>
    </rPh>
    <rPh sb="148" eb="149">
      <t>モウ</t>
    </rPh>
    <rPh sb="150" eb="151">
      <t>コ</t>
    </rPh>
    <rPh sb="156" eb="158">
      <t>ヒツヨウ</t>
    </rPh>
    <phoneticPr fontId="3"/>
  </si>
  <si>
    <t>QUICPay</t>
    <phoneticPr fontId="3"/>
  </si>
  <si>
    <t>QUICPay</t>
    <phoneticPr fontId="3"/>
  </si>
  <si>
    <t>非</t>
    <rPh sb="0" eb="1">
      <t>ヒ</t>
    </rPh>
    <phoneticPr fontId="3"/>
  </si>
  <si>
    <t>SBPS経由</t>
    <phoneticPr fontId="3"/>
  </si>
  <si>
    <t>非</t>
    <rPh sb="0" eb="1">
      <t>ヒ</t>
    </rPh>
    <phoneticPr fontId="3"/>
  </si>
  <si>
    <t>←参照行数</t>
    <rPh sb="1" eb="3">
      <t>サンショウ</t>
    </rPh>
    <rPh sb="3" eb="5">
      <t>ギョウスウ</t>
    </rPh>
    <phoneticPr fontId="3"/>
  </si>
  <si>
    <t>←数式元</t>
    <rPh sb="1" eb="3">
      <t>スウシキ</t>
    </rPh>
    <rPh sb="3" eb="4">
      <t>モト</t>
    </rPh>
    <phoneticPr fontId="3"/>
  </si>
  <si>
    <t>←数式元(2種類)</t>
    <rPh sb="1" eb="3">
      <t>スウシキ</t>
    </rPh>
    <rPh sb="3" eb="4">
      <t>モト</t>
    </rPh>
    <rPh sb="6" eb="8">
      <t>シュルイ</t>
    </rPh>
    <phoneticPr fontId="3"/>
  </si>
  <si>
    <t>←決済申込有無</t>
    <rPh sb="1" eb="3">
      <t>ケッサイ</t>
    </rPh>
    <rPh sb="3" eb="5">
      <t>モウシコミ</t>
    </rPh>
    <rPh sb="5" eb="7">
      <t>ウム</t>
    </rPh>
    <phoneticPr fontId="3"/>
  </si>
  <si>
    <t>株式会社SB商事　　　　（個人事業主の場合：東京　太郎）</t>
    <phoneticPr fontId="3"/>
  </si>
  <si>
    <t>株式会社SB商事　　　　（個人事業主の場合：東京　太郎）</t>
    <phoneticPr fontId="3"/>
  </si>
  <si>
    <t>00000015</t>
    <phoneticPr fontId="3"/>
  </si>
  <si>
    <t>飲食業 スナック　ｸﾗﾌﾞ　ｷｬﾊﾞﾚー</t>
    <phoneticPr fontId="4"/>
  </si>
  <si>
    <t>飲食業 スナック　ｸﾗﾌﾞ　ｷｬﾊﾞﾚー</t>
    <phoneticPr fontId="3"/>
  </si>
  <si>
    <t>はい</t>
  </si>
  <si>
    <t>企画部　汐留一郎</t>
    <rPh sb="0" eb="2">
      <t>キカク</t>
    </rPh>
    <rPh sb="2" eb="3">
      <t>ブ</t>
    </rPh>
    <rPh sb="4" eb="6">
      <t>シオドメ</t>
    </rPh>
    <rPh sb="6" eb="8">
      <t>イチロウ</t>
    </rPh>
    <phoneticPr fontId="3"/>
  </si>
  <si>
    <t>SBPS使用欄</t>
    <phoneticPr fontId="3"/>
  </si>
  <si>
    <t>はい</t>
    <phoneticPr fontId="3"/>
  </si>
  <si>
    <t>SBペイメントサービスの営業担当者宛（又は本エクセルシートの送信者）
にメールにてお送りください</t>
    <rPh sb="12" eb="14">
      <t>エイギョウ</t>
    </rPh>
    <rPh sb="14" eb="16">
      <t>タントウ</t>
    </rPh>
    <rPh sb="16" eb="17">
      <t>シャ</t>
    </rPh>
    <rPh sb="17" eb="18">
      <t>アテ</t>
    </rPh>
    <rPh sb="19" eb="20">
      <t>マタ</t>
    </rPh>
    <rPh sb="21" eb="22">
      <t>ホン</t>
    </rPh>
    <rPh sb="30" eb="33">
      <t>ソウシンシャ</t>
    </rPh>
    <rPh sb="42" eb="43">
      <t>オク</t>
    </rPh>
    <phoneticPr fontId="3"/>
  </si>
  <si>
    <t>選択してください</t>
    <phoneticPr fontId="3"/>
  </si>
  <si>
    <t>ショッピング・小売</t>
  </si>
  <si>
    <t>スポーツ</t>
  </si>
  <si>
    <t>5100:飲食</t>
  </si>
  <si>
    <t>5101:飲食店・レストラン</t>
  </si>
  <si>
    <t>5201:食料品全般</t>
  </si>
  <si>
    <t>5301:アクセサリー・ジュエリー・腕時計</t>
  </si>
  <si>
    <t>5401:スポーツ用品</t>
  </si>
  <si>
    <t>5501:学習塾・進学塾・予備校</t>
  </si>
  <si>
    <t>5601:託児所・ベビーシッター</t>
  </si>
  <si>
    <t>5701:理容店・美容院</t>
  </si>
  <si>
    <t>5801:医院・診療所</t>
  </si>
  <si>
    <t>5901:法律事務所・弁護士事務所</t>
  </si>
  <si>
    <t>6001:住宅設備・リフォーム</t>
  </si>
  <si>
    <t>6101:動物病院</t>
  </si>
  <si>
    <t>6201:ホテル・旅館・ペンション</t>
  </si>
  <si>
    <t>6301:映画館・劇場</t>
  </si>
  <si>
    <t>6401:自動車・バイク販売</t>
  </si>
  <si>
    <t>6501:鉄道</t>
  </si>
  <si>
    <t>6601:銀行・信用金庫・信用組合・労働金庫</t>
  </si>
  <si>
    <t>6701:寺院・神社・教会</t>
  </si>
  <si>
    <t>6801:団体</t>
  </si>
  <si>
    <t>6901:スポーツチーム・団体</t>
  </si>
  <si>
    <t>7001:公共機関・施設</t>
  </si>
  <si>
    <t>7101:児童福祉施設・サービス</t>
  </si>
  <si>
    <t>7201:結婚式場・ブライダルサービス</t>
  </si>
  <si>
    <t>7301:電気</t>
  </si>
  <si>
    <t>7401:放送局</t>
  </si>
  <si>
    <t>7501:建築工事</t>
  </si>
  <si>
    <t>5200:ショッピング・小売</t>
  </si>
  <si>
    <t>5102:デリバリー・ケータリング</t>
  </si>
  <si>
    <t>5202:酒屋</t>
  </si>
  <si>
    <t>5302:靴・かばん</t>
  </si>
  <si>
    <t>5402:スポーツ教室・スポーツレッスン</t>
  </si>
  <si>
    <t>5502:家庭教師</t>
  </si>
  <si>
    <t>5602:幼稚園・保育園</t>
  </si>
  <si>
    <t>5702:ネイル・まつげエクステ</t>
  </si>
  <si>
    <t>5802:総合病院</t>
  </si>
  <si>
    <t>5902:特許事務所</t>
  </si>
  <si>
    <t>6002:不動産</t>
  </si>
  <si>
    <t>6102:ペットショップ</t>
  </si>
  <si>
    <t>6202:ファッションホテル</t>
  </si>
  <si>
    <t>6302:ライブハウス</t>
  </si>
  <si>
    <t>6402:中古車・中古バイク販売・買取</t>
  </si>
  <si>
    <t>6502:路線バス</t>
  </si>
  <si>
    <t>6602:証券会社</t>
  </si>
  <si>
    <t>6702:その他寺院・神社・教会</t>
  </si>
  <si>
    <t>7102:介護施設・サービス</t>
  </si>
  <si>
    <t>7202:結婚相談所</t>
  </si>
  <si>
    <t>7302:ガス</t>
  </si>
  <si>
    <t>7402:新聞社</t>
  </si>
  <si>
    <t>7502:設備工事</t>
  </si>
  <si>
    <t>5300:ファッション</t>
  </si>
  <si>
    <t>5203:スーパー</t>
  </si>
  <si>
    <t>5303:衣料品販売</t>
  </si>
  <si>
    <t>5403:フィットネス・スポーツクラブ・ジム</t>
  </si>
  <si>
    <t>5503:パソコン教室</t>
  </si>
  <si>
    <t>5603:学童保育所</t>
  </si>
  <si>
    <t>5703:リラクゼーションマッサージ</t>
  </si>
  <si>
    <t>5803:歯科</t>
  </si>
  <si>
    <t>5903:司法書士事務所</t>
  </si>
  <si>
    <t>6003:ハウスクリーニング・害虫駆除</t>
  </si>
  <si>
    <t>6103:ペット用品店</t>
  </si>
  <si>
    <t>6303:ディスコ</t>
  </si>
  <si>
    <t>6403:自動車・バイクの部品・カー用品販売</t>
  </si>
  <si>
    <t>6503:観光・貸切バス</t>
  </si>
  <si>
    <t>6603:保険</t>
  </si>
  <si>
    <t>7103:その他福祉施設・サービス</t>
  </si>
  <si>
    <t>7203:葬祭業・葬儀場</t>
  </si>
  <si>
    <t>7303:燃料店</t>
  </si>
  <si>
    <t>7403:通信業</t>
  </si>
  <si>
    <t>5400:スポーツ</t>
  </si>
  <si>
    <t>5204:コンビニエンスストア</t>
  </si>
  <si>
    <t>5304:着物・呉服</t>
  </si>
  <si>
    <t>5404:競技場・体育館・その他スポーツ施設</t>
  </si>
  <si>
    <t>5504:外国語会話・外国語教室</t>
  </si>
  <si>
    <t>5604:インターナショナルスクール</t>
  </si>
  <si>
    <t>5704:アロマテラピーサロン・スクール</t>
  </si>
  <si>
    <t>5804:歯科技工所</t>
  </si>
  <si>
    <t>5904:公認会計士事務所</t>
  </si>
  <si>
    <t>6004:鍵交換・修理</t>
  </si>
  <si>
    <t>6104:ペットサロン・ペットホテル・しつけ・ドッグラン</t>
  </si>
  <si>
    <t>6304:ダンスホール</t>
  </si>
  <si>
    <t>6404:自動車・バイクの整備・車検・修理</t>
  </si>
  <si>
    <t>6504:ハイヤー・タクシー</t>
  </si>
  <si>
    <t>6604:クレジットカード</t>
  </si>
  <si>
    <t>7204:墓石・墓地</t>
  </si>
  <si>
    <t>7304:その他電気・ガス、エネルギー</t>
  </si>
  <si>
    <t>7404:広告制作・代理店</t>
  </si>
  <si>
    <t>5500:教育・習い事</t>
  </si>
  <si>
    <t>5205:百貨店・デパート</t>
  </si>
  <si>
    <t>5305:貸衣しょう</t>
  </si>
  <si>
    <t>5505:幼児教室</t>
  </si>
  <si>
    <t>5605:学校</t>
  </si>
  <si>
    <t>5705:エステティック・美容サロン</t>
  </si>
  <si>
    <t>5805:美容クリニック・美容外科</t>
  </si>
  <si>
    <t>5905:税理士事務所</t>
  </si>
  <si>
    <t>6005:水漏れ・水道修理</t>
  </si>
  <si>
    <t>6105:ペット葬儀・墓地</t>
  </si>
  <si>
    <t>6305:カラオケ</t>
  </si>
  <si>
    <t>6405:自動車解体・廃車</t>
  </si>
  <si>
    <t>6505:運転代行</t>
  </si>
  <si>
    <t>6605:貸金業</t>
  </si>
  <si>
    <t>7205:その他冠婚葬祭</t>
  </si>
  <si>
    <t>7405:映像・音楽制作</t>
  </si>
  <si>
    <t>5600:保育・学校</t>
  </si>
  <si>
    <t>5206:ショッピングセンター・モール</t>
  </si>
  <si>
    <t>5506:そろばん・書道教室</t>
  </si>
  <si>
    <t>5606:大学所属サークル・部活動</t>
  </si>
  <si>
    <t>5806:あんまマッサージ・針灸・整体</t>
  </si>
  <si>
    <t>5906:社会保険労務士・労働衛生コンサルタント</t>
  </si>
  <si>
    <t>6006:各種代行サービス・便利屋・不用品回収</t>
  </si>
  <si>
    <t>6106:その他ペットサービス</t>
  </si>
  <si>
    <t>6306:ゲームセンター</t>
  </si>
  <si>
    <t>6406:レンタカー・レンタルバイク</t>
  </si>
  <si>
    <t>6506:航空</t>
  </si>
  <si>
    <t>6606:質屋</t>
  </si>
  <si>
    <t>7406:その他通信・情報・メディア</t>
  </si>
  <si>
    <t>5700:美容・サロン</t>
  </si>
  <si>
    <t>5207:ホームセンター</t>
  </si>
  <si>
    <t>5507:カルチャースクール</t>
  </si>
  <si>
    <t>5607:同窓会・OB会</t>
  </si>
  <si>
    <t>5807:医療附帯サービス</t>
  </si>
  <si>
    <t>5907:デザイン事務所</t>
  </si>
  <si>
    <t>6007:引越し・宅配サービス</t>
  </si>
  <si>
    <t>6307:ビリヤード</t>
  </si>
  <si>
    <t>6407:ガソリンスタンド</t>
  </si>
  <si>
    <t>6507:その他交通機関・サービス</t>
  </si>
  <si>
    <t>6607:その他金融</t>
  </si>
  <si>
    <t>5800:医療機関・診療所</t>
  </si>
  <si>
    <t>5208:処方薬・ドラッグストア</t>
  </si>
  <si>
    <t>5608:研究機関</t>
  </si>
  <si>
    <t>5808:その他各種療法</t>
  </si>
  <si>
    <t>5908:経営コンサルタント</t>
  </si>
  <si>
    <t>6008:郵便局</t>
  </si>
  <si>
    <t>6308:囲碁・将棋所</t>
  </si>
  <si>
    <t>6408:ロードサービス・レッカー・けん引</t>
  </si>
  <si>
    <t>5900:専門サービス</t>
  </si>
  <si>
    <t>5209:ディスカウントショップ</t>
  </si>
  <si>
    <t>5909:不動産鑑定業</t>
  </si>
  <si>
    <t>6009:各種修理・修繕</t>
  </si>
  <si>
    <t>6309:競輪・競馬・競艇・オートレース</t>
  </si>
  <si>
    <t>6409:駐車場</t>
  </si>
  <si>
    <t>6000:生活関連サービス</t>
  </si>
  <si>
    <t>5210:リサイクルショップ・買取専門店</t>
  </si>
  <si>
    <t>5910:行政書士事務所</t>
  </si>
  <si>
    <t>6010:占い・悩み相談・カウンセリング</t>
  </si>
  <si>
    <t>6310:インターネットカフェ</t>
  </si>
  <si>
    <t>6410:道路情報サービス</t>
  </si>
  <si>
    <t>6100:ペット</t>
  </si>
  <si>
    <t>5211:金券ショップ</t>
  </si>
  <si>
    <t>5911:土地家屋調査士</t>
  </si>
  <si>
    <t>6011:クリーニング</t>
  </si>
  <si>
    <t>6311:その他娯楽・エンタメ</t>
  </si>
  <si>
    <t>6411:自動車教習所</t>
  </si>
  <si>
    <t>6200:宿泊施設</t>
  </si>
  <si>
    <t>5212:プレイガイド・チケット販売</t>
  </si>
  <si>
    <t>5912:興信所・探偵事務所</t>
  </si>
  <si>
    <t>6012:写真店・フォトスタジオ・印刷</t>
  </si>
  <si>
    <t>6312:コンサート・音楽イベント</t>
  </si>
  <si>
    <t>6412:その他自動車・バイク</t>
  </si>
  <si>
    <t>6300:旅行・エンタメ・レジャー</t>
  </si>
  <si>
    <t>5213:ＣＤ・ＤＶＤ・レコード販売</t>
  </si>
  <si>
    <t>5913:警備</t>
  </si>
  <si>
    <t>6013:音楽スタジオ・シェアオフィス・レンタルスペース</t>
  </si>
  <si>
    <t>6313:展示会・博覧会</t>
  </si>
  <si>
    <t>6400:自動車・バイク</t>
  </si>
  <si>
    <t>5214:中古ＣＤ・ＤＶＤ・レコード販売</t>
  </si>
  <si>
    <t>5914:翻訳・通訳</t>
  </si>
  <si>
    <t>6014:レンタルビデオ・CD・貸本</t>
  </si>
  <si>
    <t>6314:その他イベント</t>
  </si>
  <si>
    <t>6500:交通機関・サービス</t>
  </si>
  <si>
    <t>5215:書店・本屋</t>
  </si>
  <si>
    <t>5915:労働者・人材派遣</t>
  </si>
  <si>
    <t>6015:レンタルサービス</t>
  </si>
  <si>
    <t>6315:テーマパーク・遊園地</t>
  </si>
  <si>
    <t>6600:銀行・保険・金融</t>
  </si>
  <si>
    <t>5216:古本屋</t>
  </si>
  <si>
    <t>5916:その他専門サービス業</t>
  </si>
  <si>
    <t>6016:新聞販売店</t>
  </si>
  <si>
    <t>6316:プラネタリウム・天文台</t>
  </si>
  <si>
    <t>6700:寺院・神社・教会</t>
  </si>
  <si>
    <t>5217:電子書籍・デジタルコンテンツ</t>
  </si>
  <si>
    <t>6017:その他生活関連サービス</t>
  </si>
  <si>
    <t>6317:動物園・植物園・水族館</t>
  </si>
  <si>
    <t>6800:団体</t>
  </si>
  <si>
    <t>5218:利殖・副業に関する情報商材</t>
  </si>
  <si>
    <t>6318:銭湯・公衆浴場・温泉浴場</t>
  </si>
  <si>
    <t>6900:スポーツチーム・団体</t>
  </si>
  <si>
    <t>5219:骨董・古美術品</t>
  </si>
  <si>
    <t>6319:歴史的建造物・観光名所</t>
  </si>
  <si>
    <t>7000:公共機関・施設</t>
  </si>
  <si>
    <t>5220:家電・パソコン</t>
  </si>
  <si>
    <t>6320:博物館・美術館・科学館</t>
  </si>
  <si>
    <t>7100:福祉・介護</t>
  </si>
  <si>
    <t>5221:携帯電話・PHS</t>
  </si>
  <si>
    <t>6321:その他レジャー施設</t>
  </si>
  <si>
    <t>7200:冠婚葬祭</t>
  </si>
  <si>
    <t>5222:メガネ・コンタクトレンズ・補聴器</t>
  </si>
  <si>
    <t>6322:観光協会・旅行ガイド</t>
  </si>
  <si>
    <t>7300:電気・ガス・エネルギー</t>
  </si>
  <si>
    <t>5223:化粧品・メイク用品</t>
  </si>
  <si>
    <t>6323:旅行代理店</t>
  </si>
  <si>
    <t>7400:通信・情報・メディア</t>
  </si>
  <si>
    <t>5224:自転車・サイクルショップ</t>
  </si>
  <si>
    <t>6324:ケーブルカー・ロープウェー</t>
  </si>
  <si>
    <t>7500:建設・土木</t>
  </si>
  <si>
    <t>5225:おもちゃ・玩具</t>
  </si>
  <si>
    <t>6325:その他旅行・レジャー</t>
  </si>
  <si>
    <t>5226:子供服・ベビー用品</t>
  </si>
  <si>
    <t>6326:オンラインゲーム</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</si>
  <si>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</si>
  <si>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</si>
  <si>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</si>
  <si>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</si>
  <si>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</si>
  <si>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</si>
  <si>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</si>
  <si>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</si>
  <si>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</si>
  <si>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</si>
  <si>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</si>
  <si>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</si>
  <si>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</si>
  <si>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取次経路:</t>
    <phoneticPr fontId="3"/>
  </si>
  <si>
    <t>・日本国旅券（ﾊﾟｽﾎﾟｰﾄ）</t>
  </si>
  <si>
    <t>・住民基本台帳ｶｰﾄﾞ</t>
  </si>
  <si>
    <t>・印鑑登録証明書</t>
  </si>
  <si>
    <t>・在留カード</t>
  </si>
  <si>
    <t>・特別永住者証明書</t>
  </si>
  <si>
    <t>V/M別の場合の</t>
    <rPh sb="3" eb="4">
      <t>ベツ</t>
    </rPh>
    <rPh sb="5" eb="7">
      <t>バアイ</t>
    </rPh>
    <phoneticPr fontId="3"/>
  </si>
  <si>
    <t>精算区分コード</t>
    <rPh sb="0" eb="2">
      <t>セイサン</t>
    </rPh>
    <rPh sb="2" eb="4">
      <t>クブン</t>
    </rPh>
    <phoneticPr fontId="21"/>
  </si>
  <si>
    <t>6076:べスカ株式会社</t>
    <rPh sb="8" eb="10">
      <t>カブシキ</t>
    </rPh>
    <rPh sb="10" eb="12">
      <t>カイシャ</t>
    </rPh>
    <phoneticPr fontId="3"/>
  </si>
  <si>
    <t>6079:NKGRコンサルティング株式会社</t>
  </si>
  <si>
    <t>6080:セイコーソリューションズ株式会社</t>
  </si>
  <si>
    <t>6078:株式会社POSSIBLE</t>
    <rPh sb="5" eb="9">
      <t>カブシキガイシャ</t>
    </rPh>
    <phoneticPr fontId="3"/>
  </si>
  <si>
    <t>ブランド名 アルファベット表記</t>
    <rPh sb="4" eb="5">
      <t>メイ</t>
    </rPh>
    <rPh sb="13" eb="15">
      <t>ヒョウキ</t>
    </rPh>
    <phoneticPr fontId="4"/>
  </si>
  <si>
    <t>ブランド名英字</t>
    <rPh sb="4" eb="5">
      <t>メイ</t>
    </rPh>
    <rPh sb="5" eb="7">
      <t>エイジ</t>
    </rPh>
    <phoneticPr fontId="2"/>
  </si>
  <si>
    <t>Q27</t>
  </si>
  <si>
    <t>Q28</t>
  </si>
  <si>
    <t>6082:株式会社エレクトラム</t>
  </si>
  <si>
    <t>SBPS SHOP</t>
    <phoneticPr fontId="3"/>
  </si>
  <si>
    <t>40101</t>
  </si>
  <si>
    <t>タクシー</t>
  </si>
  <si>
    <t>61</t>
  </si>
  <si>
    <t>50601</t>
  </si>
  <si>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</si>
  <si>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</si>
  <si>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</si>
  <si>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</si>
  <si>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</si>
  <si>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</si>
  <si>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</si>
  <si>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</si>
  <si>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</si>
  <si>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</si>
  <si>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</si>
  <si>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</si>
  <si>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</si>
  <si>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</si>
  <si>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</si>
  <si>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</si>
  <si>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</si>
  <si>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</si>
  <si>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</si>
  <si>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</si>
  <si>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</si>
  <si>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</si>
  <si>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</si>
  <si>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</si>
  <si>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</si>
  <si>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</si>
  <si>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</si>
  <si>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</si>
  <si>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</si>
  <si>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</si>
  <si>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</si>
  <si>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</si>
  <si>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</si>
  <si>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</si>
  <si>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</si>
  <si>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</si>
  <si>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</si>
  <si>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</si>
  <si>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</si>
  <si>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</si>
  <si>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</si>
  <si>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</si>
  <si>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</si>
  <si>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</si>
  <si>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</si>
  <si>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</si>
  <si>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</si>
  <si>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001073</t>
  </si>
  <si>
    <t>001074</t>
  </si>
  <si>
    <t>001075</t>
  </si>
  <si>
    <t>自動機利用有無</t>
    <rPh sb="0" eb="2">
      <t>ジドウ</t>
    </rPh>
    <rPh sb="2" eb="3">
      <t>キ</t>
    </rPh>
    <rPh sb="3" eb="5">
      <t>リヨウ</t>
    </rPh>
    <rPh sb="5" eb="7">
      <t>ウム</t>
    </rPh>
    <phoneticPr fontId="3"/>
  </si>
  <si>
    <t>【JCB用】業態シート</t>
    <phoneticPr fontId="3"/>
  </si>
  <si>
    <t>業種</t>
    <rPh sb="0" eb="2">
      <t>ギョウシュ</t>
    </rPh>
    <phoneticPr fontId="86"/>
  </si>
  <si>
    <t>備考</t>
    <rPh sb="0" eb="2">
      <t>ビコウ</t>
    </rPh>
    <phoneticPr fontId="90"/>
  </si>
  <si>
    <t>コード値</t>
    <rPh sb="3" eb="4">
      <t>チ</t>
    </rPh>
    <phoneticPr fontId="86"/>
  </si>
  <si>
    <t>百貨店</t>
    <rPh sb="0" eb="3">
      <t>ヒャッカテン</t>
    </rPh>
    <phoneticPr fontId="86"/>
  </si>
  <si>
    <t>00101</t>
  </si>
  <si>
    <t>00201</t>
  </si>
  <si>
    <t>00202</t>
  </si>
  <si>
    <t>ショッピングセンター</t>
  </si>
  <si>
    <t>駅ビル含む</t>
    <rPh sb="0" eb="1">
      <t>エキ</t>
    </rPh>
    <rPh sb="3" eb="4">
      <t>フク</t>
    </rPh>
    <phoneticPr fontId="86"/>
  </si>
  <si>
    <t>00301</t>
  </si>
  <si>
    <t>商店街</t>
    <rPh sb="0" eb="3">
      <t>ショウテンガイ</t>
    </rPh>
    <phoneticPr fontId="86"/>
  </si>
  <si>
    <t>00304</t>
  </si>
  <si>
    <t>市民生協</t>
    <rPh sb="0" eb="2">
      <t>シミン</t>
    </rPh>
    <rPh sb="2" eb="4">
      <t>セイキョウ</t>
    </rPh>
    <phoneticPr fontId="86"/>
  </si>
  <si>
    <t>00502</t>
  </si>
  <si>
    <t>総合小売業（その他）</t>
    <rPh sb="0" eb="2">
      <t>ソウゴウ</t>
    </rPh>
    <rPh sb="2" eb="5">
      <t>コウリギョウ</t>
    </rPh>
    <rPh sb="8" eb="9">
      <t>タ</t>
    </rPh>
    <phoneticPr fontId="86"/>
  </si>
  <si>
    <t>09999</t>
  </si>
  <si>
    <t>総合衣料</t>
    <rPh sb="0" eb="2">
      <t>ソウゴウ</t>
    </rPh>
    <rPh sb="2" eb="4">
      <t>イリョウ</t>
    </rPh>
    <phoneticPr fontId="86"/>
  </si>
  <si>
    <t>10101</t>
  </si>
  <si>
    <t>呉服</t>
    <rPh sb="0" eb="2">
      <t>ゴフク</t>
    </rPh>
    <phoneticPr fontId="86"/>
  </si>
  <si>
    <t>物品販売業（身装用品）その他</t>
  </si>
  <si>
    <t>19999</t>
  </si>
  <si>
    <t>家電</t>
    <rPh sb="0" eb="2">
      <t>カデン</t>
    </rPh>
    <phoneticPr fontId="86"/>
  </si>
  <si>
    <t>20401</t>
  </si>
  <si>
    <t>医薬品</t>
    <rPh sb="0" eb="3">
      <t>イヤクヒン</t>
    </rPh>
    <phoneticPr fontId="86"/>
  </si>
  <si>
    <t>20501</t>
  </si>
  <si>
    <t>医療機器</t>
    <rPh sb="0" eb="2">
      <t>イリョウ</t>
    </rPh>
    <rPh sb="2" eb="4">
      <t>キキ</t>
    </rPh>
    <phoneticPr fontId="86"/>
  </si>
  <si>
    <t>20503</t>
  </si>
  <si>
    <t>調剤薬局</t>
    <rPh sb="0" eb="2">
      <t>チョウザイ</t>
    </rPh>
    <rPh sb="2" eb="4">
      <t>ヤッキョク</t>
    </rPh>
    <phoneticPr fontId="86"/>
  </si>
  <si>
    <t>ドラッグストア含む</t>
    <rPh sb="7" eb="8">
      <t>フク</t>
    </rPh>
    <phoneticPr fontId="86"/>
  </si>
  <si>
    <t>20504</t>
  </si>
  <si>
    <t>化粧品</t>
    <rPh sb="0" eb="3">
      <t>ケショウヒン</t>
    </rPh>
    <phoneticPr fontId="86"/>
  </si>
  <si>
    <t>20601</t>
  </si>
  <si>
    <t>物品販売業（家庭用品・その他）</t>
  </si>
  <si>
    <t>29999</t>
  </si>
  <si>
    <t>貴金属</t>
    <rPh sb="0" eb="3">
      <t>キキンゾク</t>
    </rPh>
    <phoneticPr fontId="86"/>
  </si>
  <si>
    <t>30101</t>
  </si>
  <si>
    <t>30802</t>
  </si>
  <si>
    <t>ペット用品</t>
    <rPh sb="3" eb="5">
      <t>ヨウヒン</t>
    </rPh>
    <phoneticPr fontId="86"/>
  </si>
  <si>
    <t>30804</t>
  </si>
  <si>
    <t>車両（その他）</t>
    <rPh sb="0" eb="2">
      <t>シャリョウ</t>
    </rPh>
    <rPh sb="5" eb="6">
      <t>タ</t>
    </rPh>
    <phoneticPr fontId="86"/>
  </si>
  <si>
    <t>31099</t>
  </si>
  <si>
    <t>物品販売業（趣味・娯楽、その他）</t>
    <rPh sb="0" eb="4">
      <t>ブッピンハンバイ</t>
    </rPh>
    <rPh sb="4" eb="5">
      <t>ギョウ</t>
    </rPh>
    <rPh sb="6" eb="8">
      <t>シュミ</t>
    </rPh>
    <rPh sb="9" eb="11">
      <t>ゴラク</t>
    </rPh>
    <rPh sb="14" eb="15">
      <t>タ</t>
    </rPh>
    <phoneticPr fontId="86"/>
  </si>
  <si>
    <t>39999</t>
  </si>
  <si>
    <t>健康食品</t>
    <rPh sb="0" eb="2">
      <t>ケンコウ</t>
    </rPh>
    <rPh sb="2" eb="4">
      <t>ショクヒン</t>
    </rPh>
    <phoneticPr fontId="86"/>
  </si>
  <si>
    <t>40210</t>
  </si>
  <si>
    <t>弁当屋</t>
    <rPh sb="0" eb="3">
      <t>ベントウヤ</t>
    </rPh>
    <phoneticPr fontId="86"/>
  </si>
  <si>
    <t>40211</t>
  </si>
  <si>
    <t>食品（その他）</t>
    <rPh sb="0" eb="2">
      <t>ショクヒン</t>
    </rPh>
    <rPh sb="5" eb="6">
      <t>タ</t>
    </rPh>
    <phoneticPr fontId="86"/>
  </si>
  <si>
    <t>40299</t>
  </si>
  <si>
    <t>リサイクルショップ</t>
  </si>
  <si>
    <t>40503</t>
  </si>
  <si>
    <t>質屋</t>
    <rPh sb="0" eb="1">
      <t>シチ</t>
    </rPh>
    <rPh sb="1" eb="2">
      <t>ヤ</t>
    </rPh>
    <phoneticPr fontId="86"/>
  </si>
  <si>
    <t>加盟相談必須</t>
    <rPh sb="0" eb="2">
      <t>カメイ</t>
    </rPh>
    <rPh sb="2" eb="4">
      <t>ソウダン</t>
    </rPh>
    <rPh sb="4" eb="6">
      <t>ヒッス</t>
    </rPh>
    <phoneticPr fontId="86"/>
  </si>
  <si>
    <t>40504</t>
  </si>
  <si>
    <t>電話機販売</t>
    <rPh sb="0" eb="3">
      <t>デンワキ</t>
    </rPh>
    <rPh sb="3" eb="5">
      <t>ハンバイ</t>
    </rPh>
    <phoneticPr fontId="86"/>
  </si>
  <si>
    <t>ＳＩＭ取り扱いは大手または既加盟先のみ可</t>
    <rPh sb="3" eb="4">
      <t>ト</t>
    </rPh>
    <rPh sb="5" eb="6">
      <t>アツカ</t>
    </rPh>
    <rPh sb="8" eb="10">
      <t>オオテ</t>
    </rPh>
    <rPh sb="13" eb="14">
      <t>キ</t>
    </rPh>
    <rPh sb="14" eb="16">
      <t>カメイ</t>
    </rPh>
    <rPh sb="16" eb="17">
      <t>サキ</t>
    </rPh>
    <rPh sb="19" eb="20">
      <t>カ</t>
    </rPh>
    <phoneticPr fontId="86"/>
  </si>
  <si>
    <t>40802</t>
  </si>
  <si>
    <t>鉄砲</t>
    <rPh sb="0" eb="2">
      <t>テッポウ</t>
    </rPh>
    <phoneticPr fontId="86"/>
  </si>
  <si>
    <t>猟銃等販売事業の許認可要</t>
    <rPh sb="0" eb="2">
      <t>リョウジュウ</t>
    </rPh>
    <rPh sb="2" eb="3">
      <t>トウ</t>
    </rPh>
    <rPh sb="3" eb="5">
      <t>ハンバイ</t>
    </rPh>
    <rPh sb="5" eb="7">
      <t>ジギョウ</t>
    </rPh>
    <rPh sb="8" eb="11">
      <t>キョニンカ</t>
    </rPh>
    <rPh sb="11" eb="12">
      <t>ヨウ</t>
    </rPh>
    <phoneticPr fontId="86"/>
  </si>
  <si>
    <t>40901</t>
  </si>
  <si>
    <t>物品販売業（その他）</t>
    <rPh sb="0" eb="2">
      <t>ブッピン</t>
    </rPh>
    <rPh sb="2" eb="4">
      <t>ハンバイ</t>
    </rPh>
    <rPh sb="4" eb="5">
      <t>ギョウ</t>
    </rPh>
    <rPh sb="8" eb="9">
      <t>タ</t>
    </rPh>
    <phoneticPr fontId="86"/>
  </si>
  <si>
    <t>自動販売機含む</t>
    <rPh sb="0" eb="2">
      <t>ジドウ</t>
    </rPh>
    <rPh sb="2" eb="4">
      <t>ハンバイ</t>
    </rPh>
    <rPh sb="4" eb="5">
      <t>キ</t>
    </rPh>
    <rPh sb="5" eb="6">
      <t>フク</t>
    </rPh>
    <phoneticPr fontId="86"/>
  </si>
  <si>
    <t>49999</t>
  </si>
  <si>
    <t>レストラン</t>
  </si>
  <si>
    <t>50403</t>
  </si>
  <si>
    <t>ＳＡ・ＰＡ</t>
  </si>
  <si>
    <t>50404</t>
  </si>
  <si>
    <t>特別料飲食1（その他）</t>
    <rPh sb="0" eb="2">
      <t>トクベツ</t>
    </rPh>
    <rPh sb="2" eb="3">
      <t>リョウ</t>
    </rPh>
    <rPh sb="3" eb="5">
      <t>インショク</t>
    </rPh>
    <rPh sb="9" eb="10">
      <t>タ</t>
    </rPh>
    <phoneticPr fontId="86"/>
  </si>
  <si>
    <t>バー、クラブ、スナック、パブ、キャバレー、ライブハウス・ディスコ、ラウンジ、カフェバーなど</t>
  </si>
  <si>
    <t>50599</t>
  </si>
  <si>
    <t>居酒屋</t>
    <rPh sb="0" eb="3">
      <t>イザカヤ</t>
    </rPh>
    <phoneticPr fontId="86"/>
  </si>
  <si>
    <t>エステティックサロン</t>
  </si>
  <si>
    <t>60103</t>
  </si>
  <si>
    <t>育毛サロン</t>
    <rPh sb="0" eb="2">
      <t>イクモウ</t>
    </rPh>
    <phoneticPr fontId="86"/>
  </si>
  <si>
    <t>加盟相談必須</t>
    <rPh sb="4" eb="6">
      <t>ヒッス</t>
    </rPh>
    <phoneticPr fontId="86"/>
  </si>
  <si>
    <t>60104</t>
  </si>
  <si>
    <t>美容室</t>
    <rPh sb="0" eb="3">
      <t>ビヨウシツ</t>
    </rPh>
    <phoneticPr fontId="86"/>
  </si>
  <si>
    <t>60105</t>
  </si>
  <si>
    <t>理容・美容（その他）</t>
    <rPh sb="0" eb="2">
      <t>リヨウ</t>
    </rPh>
    <rPh sb="3" eb="5">
      <t>ビヨウ</t>
    </rPh>
    <rPh sb="8" eb="9">
      <t>タ</t>
    </rPh>
    <phoneticPr fontId="86"/>
  </si>
  <si>
    <t>医師免許が無い者によるアートメイク、ピアス穿孔は取扱不可（実施する場合、医師免許（写）の提出が必要です）</t>
    <phoneticPr fontId="3"/>
  </si>
  <si>
    <t>60199</t>
  </si>
  <si>
    <t>総合病院</t>
    <rPh sb="0" eb="2">
      <t>ソウゴウ</t>
    </rPh>
    <rPh sb="2" eb="4">
      <t>ビョウイン</t>
    </rPh>
    <phoneticPr fontId="86"/>
  </si>
  <si>
    <t>60201</t>
  </si>
  <si>
    <t>歯科</t>
    <rPh sb="0" eb="2">
      <t>シカ</t>
    </rPh>
    <phoneticPr fontId="86"/>
  </si>
  <si>
    <t>60202</t>
  </si>
  <si>
    <t>マッサージ</t>
  </si>
  <si>
    <t>リラクゼーション系含む</t>
    <rPh sb="8" eb="9">
      <t>ケイ</t>
    </rPh>
    <rPh sb="9" eb="10">
      <t>フク</t>
    </rPh>
    <phoneticPr fontId="86"/>
  </si>
  <si>
    <t>60204</t>
  </si>
  <si>
    <t>獣医</t>
    <rPh sb="0" eb="2">
      <t>ジュウイ</t>
    </rPh>
    <phoneticPr fontId="86"/>
  </si>
  <si>
    <t>60205</t>
  </si>
  <si>
    <t>美容形成</t>
    <rPh sb="0" eb="2">
      <t>ビヨウ</t>
    </rPh>
    <rPh sb="2" eb="4">
      <t>ケイセイ</t>
    </rPh>
    <phoneticPr fontId="86"/>
  </si>
  <si>
    <t>自由診療メイン</t>
    <rPh sb="0" eb="2">
      <t>ジユウ</t>
    </rPh>
    <rPh sb="2" eb="4">
      <t>シンリョウ</t>
    </rPh>
    <phoneticPr fontId="86"/>
  </si>
  <si>
    <t>60206</t>
  </si>
  <si>
    <t>単科病院</t>
    <rPh sb="0" eb="2">
      <t>タンカ</t>
    </rPh>
    <rPh sb="2" eb="4">
      <t>ビョウイン</t>
    </rPh>
    <phoneticPr fontId="86"/>
  </si>
  <si>
    <t>60207</t>
  </si>
  <si>
    <t>接骨・整骨</t>
    <rPh sb="0" eb="2">
      <t>セッコツ</t>
    </rPh>
    <rPh sb="3" eb="5">
      <t>セイコツ</t>
    </rPh>
    <phoneticPr fontId="86"/>
  </si>
  <si>
    <t>鍼灸、カイロプラクティック含む</t>
    <rPh sb="0" eb="2">
      <t>シンキュウ</t>
    </rPh>
    <rPh sb="13" eb="14">
      <t>フク</t>
    </rPh>
    <phoneticPr fontId="86"/>
  </si>
  <si>
    <t>60210</t>
  </si>
  <si>
    <t>医療（その他）</t>
    <rPh sb="0" eb="2">
      <t>イリョウ</t>
    </rPh>
    <rPh sb="5" eb="6">
      <t>タ</t>
    </rPh>
    <phoneticPr fontId="86"/>
  </si>
  <si>
    <t>60299</t>
  </si>
  <si>
    <t>専門学校（学校）</t>
    <rPh sb="0" eb="2">
      <t>センモン</t>
    </rPh>
    <rPh sb="2" eb="4">
      <t>ガッコウ</t>
    </rPh>
    <rPh sb="5" eb="7">
      <t>ガッコウ</t>
    </rPh>
    <phoneticPr fontId="86"/>
  </si>
  <si>
    <t>塾、自治体無認可の専門学校など</t>
    <rPh sb="0" eb="1">
      <t>ジュク</t>
    </rPh>
    <rPh sb="2" eb="5">
      <t>ジチタイ</t>
    </rPh>
    <rPh sb="5" eb="8">
      <t>ムニンカ</t>
    </rPh>
    <rPh sb="9" eb="11">
      <t>センモン</t>
    </rPh>
    <rPh sb="11" eb="13">
      <t>ガッコウ</t>
    </rPh>
    <phoneticPr fontId="86"/>
  </si>
  <si>
    <t>60301</t>
  </si>
  <si>
    <t>自動車教習所</t>
    <rPh sb="0" eb="3">
      <t>ジドウシャ</t>
    </rPh>
    <rPh sb="3" eb="6">
      <t>キョウシュウジョ</t>
    </rPh>
    <phoneticPr fontId="86"/>
  </si>
  <si>
    <t>申込書や約款で「中途解約権」が保証されているむね明記されていること</t>
  </si>
  <si>
    <t>60302</t>
  </si>
  <si>
    <t>カルチャースクール</t>
  </si>
  <si>
    <t>60303</t>
  </si>
  <si>
    <t>保育施設</t>
    <rPh sb="0" eb="2">
      <t>ホイク</t>
    </rPh>
    <rPh sb="2" eb="4">
      <t>シセツ</t>
    </rPh>
    <phoneticPr fontId="86"/>
  </si>
  <si>
    <t>60306</t>
  </si>
  <si>
    <t>学校（その他）</t>
    <rPh sb="0" eb="2">
      <t>ガッコウ</t>
    </rPh>
    <rPh sb="5" eb="6">
      <t>タ</t>
    </rPh>
    <phoneticPr fontId="86"/>
  </si>
  <si>
    <t>60399</t>
  </si>
  <si>
    <t>自動車修理</t>
    <rPh sb="0" eb="3">
      <t>ジドウシャ</t>
    </rPh>
    <rPh sb="3" eb="5">
      <t>シュウリ</t>
    </rPh>
    <phoneticPr fontId="86"/>
  </si>
  <si>
    <t>60401</t>
  </si>
  <si>
    <t>クリーニング</t>
  </si>
  <si>
    <t>コインランドリー含む</t>
    <rPh sb="8" eb="9">
      <t>フク</t>
    </rPh>
    <phoneticPr fontId="86"/>
  </si>
  <si>
    <t>60403</t>
  </si>
  <si>
    <t>ハウスクリーニング</t>
  </si>
  <si>
    <t>60406</t>
  </si>
  <si>
    <t>住宅リフォーム</t>
    <rPh sb="0" eb="2">
      <t>ジュウタク</t>
    </rPh>
    <phoneticPr fontId="86"/>
  </si>
  <si>
    <t>60407</t>
  </si>
  <si>
    <t>結婚相談所</t>
    <rPh sb="0" eb="2">
      <t>ケッコン</t>
    </rPh>
    <rPh sb="2" eb="5">
      <t>ソウダンジョ</t>
    </rPh>
    <phoneticPr fontId="86"/>
  </si>
  <si>
    <t>60501</t>
  </si>
  <si>
    <t>ブライダルサービス</t>
  </si>
  <si>
    <t>60503</t>
  </si>
  <si>
    <t>コンサルティング（その他）</t>
    <rPh sb="11" eb="12">
      <t>タ</t>
    </rPh>
    <phoneticPr fontId="86"/>
  </si>
  <si>
    <t>法律に基づく資格をもってコンサルティング業務を行う事業者のみ
＜対象資格＞
司法書士/行政書士/弁理士/海事代理士/公認会計士/税理士/中小企業診断士/社会保険労務士/ファイナンシャルプランニング技能士/不動産鑑定士/土地家屋/調査士/測量士/建築士/労働安全コンサルタント/消費生活アドバイザー/消費者生活専門相談員</t>
    <rPh sb="25" eb="28">
      <t>ジギョウシャ</t>
    </rPh>
    <phoneticPr fontId="86"/>
  </si>
  <si>
    <t>60599</t>
  </si>
  <si>
    <t>互助会</t>
    <rPh sb="0" eb="3">
      <t>ゴジョカイ</t>
    </rPh>
    <phoneticPr fontId="86"/>
  </si>
  <si>
    <t>60604</t>
  </si>
  <si>
    <t>保険（その他）</t>
    <rPh sb="0" eb="2">
      <t>ホケン</t>
    </rPh>
    <rPh sb="5" eb="6">
      <t>タ</t>
    </rPh>
    <phoneticPr fontId="86"/>
  </si>
  <si>
    <t>60699</t>
  </si>
  <si>
    <t>カウンセリング</t>
  </si>
  <si>
    <t>60702</t>
  </si>
  <si>
    <t>介護サービス</t>
    <rPh sb="0" eb="2">
      <t>カイゴ</t>
    </rPh>
    <phoneticPr fontId="86"/>
  </si>
  <si>
    <t>60801</t>
  </si>
  <si>
    <t>ペットケア・ホテル</t>
  </si>
  <si>
    <t>60803</t>
  </si>
  <si>
    <t>サービス業（人的・その他）</t>
  </si>
  <si>
    <t>探偵・便利屋・占い・霊感商法は加盟相談必須、クラウドファンディングは加盟相談必須</t>
    <rPh sb="0" eb="2">
      <t>タンテイ</t>
    </rPh>
    <rPh sb="3" eb="6">
      <t>ベンリヤ</t>
    </rPh>
    <rPh sb="7" eb="8">
      <t>ウラナ</t>
    </rPh>
    <rPh sb="10" eb="12">
      <t>レイカン</t>
    </rPh>
    <rPh sb="12" eb="14">
      <t>ショウホウ</t>
    </rPh>
    <rPh sb="15" eb="19">
      <t>カメイソウダン</t>
    </rPh>
    <rPh sb="19" eb="21">
      <t>ヒッス</t>
    </rPh>
    <rPh sb="34" eb="36">
      <t>カメイ</t>
    </rPh>
    <rPh sb="36" eb="38">
      <t>ソウダン</t>
    </rPh>
    <rPh sb="38" eb="40">
      <t>ヒッス</t>
    </rPh>
    <phoneticPr fontId="86"/>
  </si>
  <si>
    <t>69999</t>
  </si>
  <si>
    <t>ホテル</t>
  </si>
  <si>
    <t>70206</t>
  </si>
  <si>
    <t>宿泊施設（その他）</t>
    <rPh sb="0" eb="2">
      <t>シュクハク</t>
    </rPh>
    <rPh sb="2" eb="4">
      <t>シセツ</t>
    </rPh>
    <rPh sb="7" eb="8">
      <t>タ</t>
    </rPh>
    <phoneticPr fontId="86"/>
  </si>
  <si>
    <t>民泊など</t>
    <rPh sb="0" eb="2">
      <t>ミンパク</t>
    </rPh>
    <phoneticPr fontId="86"/>
  </si>
  <si>
    <t>70299</t>
  </si>
  <si>
    <t>ゴルフ場</t>
    <rPh sb="3" eb="4">
      <t>ジョウ</t>
    </rPh>
    <phoneticPr fontId="86"/>
  </si>
  <si>
    <t>70301</t>
  </si>
  <si>
    <t>総合スポーツ</t>
    <rPh sb="0" eb="2">
      <t>ソウゴウ</t>
    </rPh>
    <phoneticPr fontId="86"/>
  </si>
  <si>
    <t>70307</t>
  </si>
  <si>
    <t>娯楽施設（その他）</t>
    <rPh sb="0" eb="2">
      <t>ゴラク</t>
    </rPh>
    <rPh sb="2" eb="4">
      <t>シセツ</t>
    </rPh>
    <rPh sb="7" eb="8">
      <t>タ</t>
    </rPh>
    <phoneticPr fontId="86"/>
  </si>
  <si>
    <t>70599</t>
  </si>
  <si>
    <t>結婚式場</t>
    <rPh sb="0" eb="2">
      <t>ケッコン</t>
    </rPh>
    <rPh sb="2" eb="4">
      <t>シキジョウ</t>
    </rPh>
    <phoneticPr fontId="86"/>
  </si>
  <si>
    <t>70601</t>
  </si>
  <si>
    <t>葬儀場</t>
    <rPh sb="0" eb="2">
      <t>ソウギ</t>
    </rPh>
    <rPh sb="2" eb="3">
      <t>ジョウ</t>
    </rPh>
    <phoneticPr fontId="86"/>
  </si>
  <si>
    <t>70602</t>
  </si>
  <si>
    <t>駐車場</t>
    <rPh sb="0" eb="2">
      <t>チュウシャ</t>
    </rPh>
    <rPh sb="2" eb="3">
      <t>ジョウ</t>
    </rPh>
    <phoneticPr fontId="86"/>
  </si>
  <si>
    <t>70701</t>
  </si>
  <si>
    <t>不動産</t>
    <rPh sb="0" eb="3">
      <t>フドウサン</t>
    </rPh>
    <phoneticPr fontId="86"/>
  </si>
  <si>
    <t>・マンション管理費等含む　・マンション管理組合単体の加盟はNG　・「過去の管理費債権」「延滞した管理債権」も取扱不可</t>
    <rPh sb="6" eb="8">
      <t>カンリ</t>
    </rPh>
    <rPh sb="8" eb="9">
      <t>ヒ</t>
    </rPh>
    <rPh sb="9" eb="10">
      <t>トウ</t>
    </rPh>
    <rPh sb="10" eb="11">
      <t>フク</t>
    </rPh>
    <phoneticPr fontId="86"/>
  </si>
  <si>
    <t>70901</t>
  </si>
  <si>
    <t>サービス業（施設・その他）</t>
    <rPh sb="4" eb="5">
      <t>ギョウ</t>
    </rPh>
    <rPh sb="6" eb="8">
      <t>シセツ</t>
    </rPh>
    <rPh sb="11" eb="12">
      <t>タ</t>
    </rPh>
    <phoneticPr fontId="86"/>
  </si>
  <si>
    <t>79999</t>
  </si>
  <si>
    <t>一般旅行業（第1種）</t>
    <rPh sb="0" eb="2">
      <t>イッパン</t>
    </rPh>
    <rPh sb="2" eb="5">
      <t>リョコウギョウ</t>
    </rPh>
    <rPh sb="6" eb="7">
      <t>ダイ</t>
    </rPh>
    <rPh sb="8" eb="9">
      <t>シュ</t>
    </rPh>
    <phoneticPr fontId="86"/>
  </si>
  <si>
    <t>80101</t>
  </si>
  <si>
    <t>国内旅行業（第2種）</t>
    <rPh sb="0" eb="2">
      <t>コクナイ</t>
    </rPh>
    <rPh sb="2" eb="4">
      <t>リョコウ</t>
    </rPh>
    <rPh sb="4" eb="5">
      <t>ギョウ</t>
    </rPh>
    <rPh sb="6" eb="7">
      <t>ダイ</t>
    </rPh>
    <rPh sb="8" eb="9">
      <t>シュ</t>
    </rPh>
    <phoneticPr fontId="86"/>
  </si>
  <si>
    <t>80102</t>
  </si>
  <si>
    <t>旅行代理店業（第3種）</t>
    <rPh sb="0" eb="2">
      <t>リョコウ</t>
    </rPh>
    <rPh sb="2" eb="4">
      <t>ダイリ</t>
    </rPh>
    <rPh sb="4" eb="5">
      <t>テン</t>
    </rPh>
    <rPh sb="5" eb="6">
      <t>ギョウ</t>
    </rPh>
    <rPh sb="7" eb="8">
      <t>ダイ</t>
    </rPh>
    <rPh sb="9" eb="10">
      <t>シュ</t>
    </rPh>
    <phoneticPr fontId="86"/>
  </si>
  <si>
    <t>80104</t>
  </si>
  <si>
    <t>旅行斡旋（その他）</t>
    <rPh sb="0" eb="2">
      <t>リョコウ</t>
    </rPh>
    <rPh sb="2" eb="4">
      <t>アッセン</t>
    </rPh>
    <rPh sb="7" eb="8">
      <t>タ</t>
    </rPh>
    <phoneticPr fontId="86"/>
  </si>
  <si>
    <t>80199</t>
  </si>
  <si>
    <t>運輸（空・海・その他）</t>
    <rPh sb="0" eb="2">
      <t>ウンユ</t>
    </rPh>
    <rPh sb="3" eb="4">
      <t>ソラ</t>
    </rPh>
    <rPh sb="5" eb="6">
      <t>ウミ</t>
    </rPh>
    <rPh sb="9" eb="10">
      <t>タ</t>
    </rPh>
    <phoneticPr fontId="86"/>
  </si>
  <si>
    <t>80299</t>
  </si>
  <si>
    <t>80302</t>
  </si>
  <si>
    <t>運転代行業</t>
    <rPh sb="0" eb="2">
      <t>ウンテン</t>
    </rPh>
    <rPh sb="2" eb="4">
      <t>ダイコウ</t>
    </rPh>
    <rPh sb="4" eb="5">
      <t>ギョウ</t>
    </rPh>
    <phoneticPr fontId="86"/>
  </si>
  <si>
    <t>80305</t>
  </si>
  <si>
    <t>料金所</t>
    <rPh sb="0" eb="2">
      <t>リョウキン</t>
    </rPh>
    <rPh sb="2" eb="3">
      <t>ジョ</t>
    </rPh>
    <phoneticPr fontId="86"/>
  </si>
  <si>
    <t>80308</t>
  </si>
  <si>
    <t>運輸（陸・その他）</t>
    <rPh sb="0" eb="2">
      <t>ウンユ</t>
    </rPh>
    <rPh sb="3" eb="4">
      <t>リク</t>
    </rPh>
    <rPh sb="7" eb="8">
      <t>タ</t>
    </rPh>
    <phoneticPr fontId="86"/>
  </si>
  <si>
    <t>80399</t>
  </si>
  <si>
    <t>貸衣装</t>
    <rPh sb="0" eb="3">
      <t>カシイショウ</t>
    </rPh>
    <phoneticPr fontId="86"/>
  </si>
  <si>
    <t>80502</t>
  </si>
  <si>
    <t>プレイガイド</t>
  </si>
  <si>
    <t>80601</t>
  </si>
  <si>
    <t>サービス業（その他）</t>
    <rPh sb="4" eb="5">
      <t>ギョウ</t>
    </rPh>
    <rPh sb="8" eb="9">
      <t>タ</t>
    </rPh>
    <phoneticPr fontId="86"/>
  </si>
  <si>
    <t>89999</t>
  </si>
  <si>
    <t>税・公的費用（その他）</t>
    <rPh sb="0" eb="1">
      <t>ゼイ</t>
    </rPh>
    <rPh sb="2" eb="4">
      <t>コウテキ</t>
    </rPh>
    <rPh sb="4" eb="6">
      <t>ヒヨウ</t>
    </rPh>
    <rPh sb="9" eb="10">
      <t>タ</t>
    </rPh>
    <phoneticPr fontId="86"/>
  </si>
  <si>
    <t>91099</t>
  </si>
  <si>
    <t>個人輸入代行</t>
    <rPh sb="0" eb="2">
      <t>コジン</t>
    </rPh>
    <rPh sb="2" eb="4">
      <t>ユニュウ</t>
    </rPh>
    <rPh sb="4" eb="6">
      <t>ダイコウ</t>
    </rPh>
    <phoneticPr fontId="86"/>
  </si>
  <si>
    <t>加盟相談要</t>
    <rPh sb="0" eb="2">
      <t>カメイ</t>
    </rPh>
    <rPh sb="2" eb="4">
      <t>ソウダン</t>
    </rPh>
    <rPh sb="4" eb="5">
      <t>ヨウ</t>
    </rPh>
    <phoneticPr fontId="86"/>
  </si>
  <si>
    <t>92508</t>
  </si>
  <si>
    <t>その他</t>
    <rPh sb="2" eb="3">
      <t>タ</t>
    </rPh>
    <phoneticPr fontId="86"/>
  </si>
  <si>
    <t>原則利用不可</t>
    <rPh sb="0" eb="2">
      <t>ゲンソク</t>
    </rPh>
    <rPh sb="2" eb="4">
      <t>リヨウ</t>
    </rPh>
    <rPh sb="4" eb="6">
      <t>フカ</t>
    </rPh>
    <phoneticPr fontId="86"/>
  </si>
  <si>
    <t>99999</t>
  </si>
  <si>
    <t>JCB</t>
    <phoneticPr fontId="3"/>
  </si>
  <si>
    <t>CPM</t>
    <phoneticPr fontId="3"/>
  </si>
  <si>
    <t>MPM</t>
    <phoneticPr fontId="3"/>
  </si>
  <si>
    <t>利用しない</t>
    <rPh sb="0" eb="2">
      <t>リヨウ</t>
    </rPh>
    <phoneticPr fontId="3"/>
  </si>
  <si>
    <t>利用する</t>
    <rPh sb="0" eb="2">
      <t>リヨウ</t>
    </rPh>
    <phoneticPr fontId="3"/>
  </si>
  <si>
    <t>端末設定</t>
    <rPh sb="0" eb="2">
      <t>タンマツ</t>
    </rPh>
    <rPh sb="2" eb="4">
      <t>セッテイ</t>
    </rPh>
    <phoneticPr fontId="3"/>
  </si>
  <si>
    <t>POS連動有無</t>
    <rPh sb="3" eb="5">
      <t>レンドウ</t>
    </rPh>
    <rPh sb="5" eb="7">
      <t>ウム</t>
    </rPh>
    <phoneticPr fontId="3"/>
  </si>
  <si>
    <t>POS会社名</t>
    <rPh sb="3" eb="5">
      <t>カイシャ</t>
    </rPh>
    <rPh sb="5" eb="6">
      <t>メイ</t>
    </rPh>
    <phoneticPr fontId="2"/>
  </si>
  <si>
    <t>POS連動方式</t>
    <rPh sb="3" eb="5">
      <t>レンドウ</t>
    </rPh>
    <rPh sb="5" eb="7">
      <t>ホウシキ</t>
    </rPh>
    <phoneticPr fontId="2"/>
  </si>
  <si>
    <t>POS用途</t>
    <rPh sb="3" eb="5">
      <t>ヨウト</t>
    </rPh>
    <phoneticPr fontId="2"/>
  </si>
  <si>
    <t>POS連動タイプ</t>
    <rPh sb="3" eb="5">
      <t>レンドウ</t>
    </rPh>
    <phoneticPr fontId="2"/>
  </si>
  <si>
    <t>通信方式</t>
    <rPh sb="0" eb="2">
      <t>ツウシン</t>
    </rPh>
    <rPh sb="2" eb="4">
      <t>ホウシキ</t>
    </rPh>
    <phoneticPr fontId="2"/>
  </si>
  <si>
    <t>PINレス・サインレス金額</t>
    <rPh sb="11" eb="13">
      <t>キンガク</t>
    </rPh>
    <phoneticPr fontId="2"/>
  </si>
  <si>
    <t>PINバイパス有無</t>
    <rPh sb="7" eb="9">
      <t>ウム</t>
    </rPh>
    <phoneticPr fontId="2"/>
  </si>
  <si>
    <t>利用しない</t>
    <phoneticPr fontId="3"/>
  </si>
  <si>
    <t>利用する</t>
    <phoneticPr fontId="3"/>
  </si>
  <si>
    <t>金額連動</t>
    <phoneticPr fontId="3"/>
  </si>
  <si>
    <t>金種連動</t>
    <phoneticPr fontId="3"/>
  </si>
  <si>
    <t>LAN</t>
    <phoneticPr fontId="3"/>
  </si>
  <si>
    <t>シリアル</t>
    <phoneticPr fontId="3"/>
  </si>
  <si>
    <t>LAN</t>
    <phoneticPr fontId="3"/>
  </si>
  <si>
    <t>WiFi</t>
    <phoneticPr fontId="3"/>
  </si>
  <si>
    <t>SIM</t>
    <phoneticPr fontId="3"/>
  </si>
  <si>
    <t>磁気読み有無</t>
    <rPh sb="0" eb="2">
      <t>ジキ</t>
    </rPh>
    <rPh sb="2" eb="3">
      <t>ヨ</t>
    </rPh>
    <rPh sb="4" eb="6">
      <t>ウム</t>
    </rPh>
    <phoneticPr fontId="2"/>
  </si>
  <si>
    <t>クレジット</t>
    <phoneticPr fontId="3"/>
  </si>
  <si>
    <t>銀聯</t>
    <phoneticPr fontId="3"/>
  </si>
  <si>
    <t>係員操作型</t>
    <phoneticPr fontId="3"/>
  </si>
  <si>
    <t>顧客操作型</t>
    <phoneticPr fontId="3"/>
  </si>
  <si>
    <t>決済方式</t>
  </si>
  <si>
    <t>自動精算機などの対面決済以外のご利用がある場合は、利用するを選択ください。</t>
    <rPh sb="8" eb="10">
      <t>タイメン</t>
    </rPh>
    <phoneticPr fontId="3"/>
  </si>
  <si>
    <t>※決済方式によりご利用可能な決済手段が異なります。※グレーアウトしている決済手段はお申し込みできません。</t>
    <phoneticPr fontId="3"/>
  </si>
  <si>
    <t>PINレス・サインレス</t>
    <phoneticPr fontId="2"/>
  </si>
  <si>
    <t>利用しない</t>
    <phoneticPr fontId="3"/>
  </si>
  <si>
    <t>利用する</t>
    <phoneticPr fontId="3"/>
  </si>
  <si>
    <t>←判定</t>
    <rPh sb="1" eb="3">
      <t>ハンテイ</t>
    </rPh>
    <phoneticPr fontId="3"/>
  </si>
  <si>
    <t>QR決済方式</t>
    <rPh sb="2" eb="4">
      <t>ケッサイ</t>
    </rPh>
    <rPh sb="4" eb="6">
      <t>ホウシキ</t>
    </rPh>
    <phoneticPr fontId="1"/>
  </si>
  <si>
    <t>S!can識別</t>
  </si>
  <si>
    <t>QR自動機利用有無</t>
    <rPh sb="2" eb="4">
      <t>ジドウ</t>
    </rPh>
    <rPh sb="4" eb="5">
      <t>キ</t>
    </rPh>
    <rPh sb="5" eb="7">
      <t>リヨウ</t>
    </rPh>
    <rPh sb="7" eb="9">
      <t>ウム</t>
    </rPh>
    <phoneticPr fontId="1"/>
  </si>
  <si>
    <t>null</t>
  </si>
  <si>
    <t>1:CPM、2:MPM</t>
  </si>
  <si>
    <t>1:アプリ、2:API</t>
  </si>
  <si>
    <t>001500</t>
  </si>
  <si>
    <t>001501</t>
  </si>
  <si>
    <t>001502</t>
  </si>
  <si>
    <t>001503</t>
  </si>
  <si>
    <t>001504</t>
  </si>
  <si>
    <t>001505</t>
  </si>
  <si>
    <t>001506</t>
  </si>
  <si>
    <t>001507</t>
  </si>
  <si>
    <t>001508</t>
  </si>
  <si>
    <t>001509</t>
  </si>
  <si>
    <t>001510</t>
  </si>
  <si>
    <t>001511</t>
  </si>
  <si>
    <t>リアル代表バックオフィスアカウント</t>
    <rPh sb="3" eb="5">
      <t>ダイヒョウ</t>
    </rPh>
    <phoneticPr fontId="2"/>
  </si>
  <si>
    <t>リアル代表バックオフィスパスワード</t>
    <rPh sb="3" eb="5">
      <t>ダイヒョウ</t>
    </rPh>
    <phoneticPr fontId="2"/>
  </si>
  <si>
    <t>POS連動有無</t>
    <rPh sb="3" eb="5">
      <t>レンドウ</t>
    </rPh>
    <rPh sb="5" eb="7">
      <t>ウム</t>
    </rPh>
    <phoneticPr fontId="2"/>
  </si>
  <si>
    <t>磁気読み有無（クレジット）</t>
    <rPh sb="0" eb="2">
      <t>ジキ</t>
    </rPh>
    <rPh sb="2" eb="3">
      <t>ヨ</t>
    </rPh>
    <rPh sb="4" eb="6">
      <t>ウム</t>
    </rPh>
    <phoneticPr fontId="2"/>
  </si>
  <si>
    <t>磁気読み有無（銀聯）</t>
    <rPh sb="0" eb="2">
      <t>ジキ</t>
    </rPh>
    <rPh sb="2" eb="3">
      <t>ヨ</t>
    </rPh>
    <rPh sb="4" eb="6">
      <t>ウム</t>
    </rPh>
    <rPh sb="7" eb="9">
      <t>ギンレン</t>
    </rPh>
    <phoneticPr fontId="2"/>
  </si>
  <si>
    <t>1:LAN、2:シリアル</t>
  </si>
  <si>
    <t>1:顧客操作型、2:係員操作型</t>
  </si>
  <si>
    <t>1:金額連動、2:金種連動</t>
  </si>
  <si>
    <t>1:LAN、2:SIM、3:WiFi</t>
  </si>
  <si>
    <t>940001</t>
    <phoneticPr fontId="3"/>
  </si>
  <si>
    <t>JCB（リアル）</t>
  </si>
  <si>
    <t>申込方法</t>
  </si>
  <si>
    <t>業態コード</t>
  </si>
  <si>
    <t>店舗オープン日</t>
  </si>
  <si>
    <t>UR1</t>
  </si>
  <si>
    <t>UR3</t>
  </si>
  <si>
    <t>UR4</t>
  </si>
  <si>
    <t>UR5</t>
  </si>
  <si>
    <t>10607</t>
    <phoneticPr fontId="3"/>
  </si>
  <si>
    <t>10607</t>
    <phoneticPr fontId="3"/>
  </si>
  <si>
    <t>10607</t>
    <phoneticPr fontId="3"/>
  </si>
  <si>
    <t>10607</t>
    <phoneticPr fontId="3"/>
  </si>
  <si>
    <t>ミナトク</t>
    <phoneticPr fontId="3"/>
  </si>
  <si>
    <t>ヒガシシンバシ</t>
    <phoneticPr fontId="3"/>
  </si>
  <si>
    <t>1-2-3</t>
    <phoneticPr fontId="3"/>
  </si>
  <si>
    <t>2-3-4</t>
    <phoneticPr fontId="3"/>
  </si>
  <si>
    <t>チュウオウク</t>
    <phoneticPr fontId="3"/>
  </si>
  <si>
    <t>ギンザ</t>
    <phoneticPr fontId="3"/>
  </si>
  <si>
    <t>1-1</t>
    <phoneticPr fontId="3"/>
  </si>
  <si>
    <t>トウキョウ</t>
    <phoneticPr fontId="3"/>
  </si>
  <si>
    <t>タロウ</t>
    <phoneticPr fontId="3"/>
  </si>
  <si>
    <t>東京</t>
    <rPh sb="0" eb="2">
      <t>トウキョウ</t>
    </rPh>
    <phoneticPr fontId="3"/>
  </si>
  <si>
    <t>タロウ</t>
    <phoneticPr fontId="3"/>
  </si>
  <si>
    <t>シンバシ</t>
    <phoneticPr fontId="3"/>
  </si>
  <si>
    <t>ジロウ</t>
    <phoneticPr fontId="3"/>
  </si>
  <si>
    <t>新橋</t>
    <rPh sb="0" eb="2">
      <t>シンバシ</t>
    </rPh>
    <phoneticPr fontId="3"/>
  </si>
  <si>
    <t>次郎</t>
    <rPh sb="0" eb="2">
      <t>ジロウ</t>
    </rPh>
    <phoneticPr fontId="3"/>
  </si>
  <si>
    <t>株式会社システム</t>
    <rPh sb="0" eb="4">
      <t>カブシキガイシャ</t>
    </rPh>
    <phoneticPr fontId="3"/>
  </si>
  <si>
    <t>楽天ペイ1500</t>
    <phoneticPr fontId="3"/>
  </si>
  <si>
    <t>楽天ペイ1700</t>
    <phoneticPr fontId="3"/>
  </si>
  <si>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</si>
  <si>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</si>
  <si>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</si>
  <si>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</si>
  <si>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</si>
  <si>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</si>
  <si>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</si>
  <si>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</si>
  <si>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</si>
  <si>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</si>
  <si>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</si>
  <si>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</si>
  <si>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</si>
  <si>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</si>
  <si>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</si>
  <si>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</si>
  <si>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</si>
  <si>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</si>
  <si>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</si>
  <si>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</si>
  <si>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</si>
  <si>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</si>
  <si>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</si>
  <si>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</si>
  <si>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</si>
  <si>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</si>
  <si>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</si>
  <si>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</si>
  <si>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</si>
  <si>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</si>
  <si>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</si>
  <si>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</si>
  <si>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</si>
  <si>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</si>
  <si>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</si>
  <si>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</si>
  <si>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</si>
  <si>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</si>
  <si>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</si>
  <si>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</si>
  <si>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</si>
  <si>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</si>
  <si>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</si>
  <si>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</si>
  <si>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</si>
  <si>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</si>
  <si>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</si>
  <si>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</si>
  <si>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</si>
  <si>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</si>
  <si>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</si>
  <si>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</si>
  <si>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</si>
  <si>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</si>
  <si>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</si>
  <si>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</si>
  <si>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</si>
  <si>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</si>
  <si>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</si>
  <si>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</si>
  <si>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</si>
  <si>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</si>
  <si>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</si>
  <si>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</si>
  <si>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</si>
  <si>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</si>
  <si>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</si>
  <si>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</si>
  <si>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</si>
  <si>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</si>
  <si>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</si>
  <si>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</si>
  <si>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</si>
  <si>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</si>
  <si>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</si>
  <si>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</si>
  <si>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</si>
  <si>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</si>
  <si>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</si>
  <si>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</si>
  <si>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</si>
  <si>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</si>
  <si>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</si>
  <si>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</si>
  <si>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</si>
  <si>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</si>
  <si>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</si>
  <si>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</si>
  <si>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</si>
  <si>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</si>
  <si>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</si>
  <si>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</si>
  <si>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</si>
  <si>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</si>
  <si>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</si>
  <si>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</si>
  <si>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</si>
  <si>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</si>
  <si>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</si>
  <si>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</si>
  <si>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</si>
  <si>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</si>
  <si>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</si>
  <si>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</si>
  <si>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</si>
  <si>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</si>
  <si>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</si>
  <si>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</si>
  <si>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</si>
  <si>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</si>
  <si>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</si>
  <si>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</si>
  <si>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</si>
  <si>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</si>
  <si>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</si>
  <si>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</si>
  <si>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</si>
  <si>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</si>
  <si>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</si>
  <si>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</si>
  <si>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</si>
  <si>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</si>
  <si>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</si>
  <si>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</si>
  <si>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</si>
  <si>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</si>
  <si>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</si>
  <si>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</si>
  <si>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</si>
  <si>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</si>
  <si>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</si>
  <si>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</si>
  <si>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</si>
  <si>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</si>
  <si>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</si>
  <si>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</si>
  <si>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</si>
  <si>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</si>
  <si>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</si>
  <si>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</si>
  <si>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29"/>
  </si>
  <si>
    <t>取扱商品ID</t>
    <rPh sb="0" eb="4">
      <t>トリアツカイショウヒン</t>
    </rPh>
    <phoneticPr fontId="2"/>
  </si>
  <si>
    <t>取扱商品</t>
    <rPh sb="0" eb="2">
      <t>トリアツカイ</t>
    </rPh>
    <rPh sb="2" eb="4">
      <t>ショウヒン</t>
    </rPh>
    <phoneticPr fontId="29"/>
  </si>
  <si>
    <t>業種ID</t>
    <rPh sb="0" eb="2">
      <t>ギョウシュ</t>
    </rPh>
    <phoneticPr fontId="2"/>
  </si>
  <si>
    <t>業種</t>
    <rPh sb="0" eb="2">
      <t>ギョウシュ</t>
    </rPh>
    <phoneticPr fontId="29"/>
  </si>
  <si>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</si>
  <si>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</si>
  <si>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</si>
  <si>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</si>
  <si>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29"/>
  </si>
  <si>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</si>
  <si>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</si>
  <si>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</si>
  <si>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29"/>
  </si>
  <si>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</si>
  <si>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</si>
  <si>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</si>
  <si>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</si>
  <si>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</si>
  <si>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</si>
  <si>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</si>
  <si>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</si>
  <si>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</si>
  <si>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</si>
  <si>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</si>
  <si>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</si>
  <si>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</si>
  <si>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</si>
  <si>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29"/>
  </si>
  <si>
    <t>その他のサービス業</t>
    <rPh sb="2" eb="3">
      <t>ホカ</t>
    </rPh>
    <rPh sb="8" eb="9">
      <t>ギョウ</t>
    </rPh>
    <phoneticPr fontId="29"/>
  </si>
  <si>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</si>
  <si>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</si>
  <si>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</si>
  <si>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29"/>
  </si>
  <si>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</si>
  <si>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</si>
  <si>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</si>
  <si>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</si>
  <si>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</si>
  <si>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</si>
  <si>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</si>
  <si>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</si>
  <si>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</si>
  <si>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</si>
  <si>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</si>
  <si>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</si>
  <si>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</si>
  <si>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29"/>
  </si>
  <si>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</si>
  <si>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</si>
  <si>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</si>
  <si>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</si>
  <si>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</si>
  <si>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</si>
  <si>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</si>
  <si>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</si>
  <si>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29"/>
  </si>
  <si>
    <t>時計、眼鏡、光学機械小売業</t>
    <rPh sb="0" eb="2">
      <t>トケイ</t>
    </rPh>
    <rPh sb="3" eb="5">
      <t>メガネ</t>
    </rPh>
    <rPh sb="6" eb="8">
      <t>コウガク</t>
    </rPh>
    <rPh sb="8" eb="10">
      <t>キカイ</t>
    </rPh>
    <rPh sb="10" eb="13">
      <t>コウリギョウ</t>
    </rPh>
    <phoneticPr fontId="29"/>
  </si>
  <si>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</si>
  <si>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</si>
  <si>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</si>
  <si>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</si>
  <si>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29"/>
  </si>
  <si>
    <t>スポーツ用品</t>
  </si>
  <si>
    <t>スポーツ用品小売業</t>
    <rPh sb="4" eb="6">
      <t>ヨウヒン</t>
    </rPh>
    <rPh sb="6" eb="9">
      <t>コウリギョウ</t>
    </rPh>
    <phoneticPr fontId="29"/>
  </si>
  <si>
    <t>おもちゃ（人形、フィギュア含む）</t>
  </si>
  <si>
    <t>玩具、娯楽用品小売業</t>
    <rPh sb="0" eb="2">
      <t>ガング</t>
    </rPh>
    <rPh sb="3" eb="5">
      <t>ゴラク</t>
    </rPh>
    <rPh sb="5" eb="7">
      <t>ヨウヒン</t>
    </rPh>
    <rPh sb="7" eb="10">
      <t>コウリギョウ</t>
    </rPh>
    <phoneticPr fontId="29"/>
  </si>
  <si>
    <t>その他の各種商品小売業</t>
    <rPh sb="2" eb="3">
      <t>ホカ</t>
    </rPh>
    <rPh sb="4" eb="6">
      <t>カクシュ</t>
    </rPh>
    <rPh sb="6" eb="8">
      <t>ショウヒン</t>
    </rPh>
    <rPh sb="8" eb="11">
      <t>コウリギョウ</t>
    </rPh>
    <phoneticPr fontId="29"/>
  </si>
  <si>
    <t>楽器</t>
  </si>
  <si>
    <t>楽器、音盤小売業</t>
    <rPh sb="0" eb="2">
      <t>ガッキ</t>
    </rPh>
    <rPh sb="3" eb="5">
      <t>オンバン</t>
    </rPh>
    <rPh sb="5" eb="8">
      <t>コウリギョウ</t>
    </rPh>
    <phoneticPr fontId="29"/>
  </si>
  <si>
    <t>美術品（美術、骨董品）</t>
    <rPh sb="0" eb="2">
      <t>ビジュツ</t>
    </rPh>
    <rPh sb="2" eb="3">
      <t>ヒン</t>
    </rPh>
    <phoneticPr fontId="3"/>
  </si>
  <si>
    <t>美術品（古銭、切手）</t>
    <rPh sb="0" eb="2">
      <t>ビジュツ</t>
    </rPh>
    <rPh sb="2" eb="3">
      <t>ヒン</t>
    </rPh>
    <phoneticPr fontId="3"/>
  </si>
  <si>
    <t>1600</t>
  </si>
  <si>
    <t>電化製品</t>
  </si>
  <si>
    <t>カメラ</t>
  </si>
  <si>
    <t>写真機、写真材料小売業</t>
    <rPh sb="0" eb="3">
      <t>シャシンキ</t>
    </rPh>
    <rPh sb="4" eb="6">
      <t>シャシン</t>
    </rPh>
    <rPh sb="6" eb="8">
      <t>ザイリョウ</t>
    </rPh>
    <rPh sb="8" eb="11">
      <t>コウリギョウ</t>
    </rPh>
    <phoneticPr fontId="29"/>
  </si>
  <si>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</si>
  <si>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</si>
  <si>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</si>
  <si>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</si>
  <si>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</si>
  <si>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</si>
  <si>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</si>
  <si>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</si>
  <si>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</si>
  <si>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</si>
  <si>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</si>
  <si>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29"/>
  </si>
  <si>
    <t>1700</t>
  </si>
  <si>
    <t>事務用品</t>
  </si>
  <si>
    <t>書籍、文房具小売業</t>
    <rPh sb="0" eb="2">
      <t>ショセキ</t>
    </rPh>
    <rPh sb="3" eb="6">
      <t>ブンボウグ</t>
    </rPh>
    <rPh sb="6" eb="9">
      <t>コウリギョウ</t>
    </rPh>
    <phoneticPr fontId="29"/>
  </si>
  <si>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</si>
  <si>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</si>
  <si>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</si>
  <si>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</si>
  <si>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</si>
  <si>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29"/>
  </si>
  <si>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</si>
  <si>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</si>
  <si>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</si>
  <si>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</si>
  <si>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</si>
  <si>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</si>
  <si>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</si>
  <si>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29"/>
  </si>
  <si>
    <t>1807</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</si>
  <si>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</si>
  <si>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</si>
  <si>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</si>
  <si>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</si>
  <si>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</si>
  <si>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29"/>
  </si>
  <si>
    <t>1810</t>
  </si>
  <si>
    <t>クリーニングサービス</t>
  </si>
  <si>
    <t>家事サービス業</t>
    <rPh sb="0" eb="2">
      <t>カジ</t>
    </rPh>
    <rPh sb="6" eb="7">
      <t>ギョウ</t>
    </rPh>
    <phoneticPr fontId="29"/>
  </si>
  <si>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</si>
  <si>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</si>
  <si>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</si>
  <si>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</si>
  <si>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</si>
  <si>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</si>
  <si>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</si>
  <si>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</si>
  <si>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29"/>
  </si>
  <si>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</si>
  <si>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</si>
  <si>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</si>
  <si>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</si>
  <si>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</si>
  <si>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</si>
  <si>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</si>
  <si>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29"/>
  </si>
  <si>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</si>
  <si>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</si>
  <si>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</si>
  <si>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</si>
  <si>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</si>
  <si>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</si>
  <si>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</si>
  <si>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29"/>
  </si>
  <si>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</si>
  <si>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</si>
  <si>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</si>
  <si>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</si>
  <si>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</si>
  <si>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</si>
  <si>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</si>
  <si>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</si>
  <si>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</si>
  <si>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</si>
  <si>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</si>
  <si>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</si>
  <si>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29"/>
  </si>
  <si>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</si>
  <si>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</si>
  <si>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</si>
  <si>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</si>
  <si>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</si>
  <si>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</si>
  <si>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</si>
  <si>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</si>
  <si>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</si>
  <si>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</si>
  <si>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</si>
  <si>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</si>
  <si>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</si>
  <si>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</si>
  <si>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</si>
  <si>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</si>
  <si>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</si>
  <si>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</si>
  <si>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29"/>
  </si>
  <si>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</si>
  <si>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</si>
  <si>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</si>
  <si>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</si>
  <si>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</si>
  <si>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</si>
  <si>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</si>
  <si>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</si>
  <si>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</si>
  <si>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</si>
  <si>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</si>
  <si>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29"/>
  </si>
  <si>
    <t>2300</t>
  </si>
  <si>
    <t>2301</t>
  </si>
  <si>
    <t>鉄道運賃</t>
  </si>
  <si>
    <t>53</t>
  </si>
  <si>
    <t>鉄道旅客運送業</t>
    <rPh sb="0" eb="2">
      <t>テツドウ</t>
    </rPh>
    <rPh sb="2" eb="4">
      <t>リョキャク</t>
    </rPh>
    <rPh sb="4" eb="7">
      <t>ウンソウギョウ</t>
    </rPh>
    <phoneticPr fontId="29"/>
  </si>
  <si>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</si>
  <si>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</si>
  <si>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</si>
  <si>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29"/>
  </si>
  <si>
    <t>2303</t>
  </si>
  <si>
    <t>航空券</t>
  </si>
  <si>
    <t>2304</t>
  </si>
  <si>
    <t>乗船券</t>
  </si>
  <si>
    <t>海上旅客運送業</t>
    <rPh sb="0" eb="2">
      <t>カイジョウ</t>
    </rPh>
    <rPh sb="2" eb="4">
      <t>リョキャク</t>
    </rPh>
    <rPh sb="4" eb="7">
      <t>ウンソウギョウ</t>
    </rPh>
    <phoneticPr fontId="29"/>
  </si>
  <si>
    <t>2305</t>
  </si>
  <si>
    <t>旅行代理店</t>
  </si>
  <si>
    <t>55</t>
  </si>
  <si>
    <t>旅行斡旋業（旅行代理店）</t>
    <rPh sb="0" eb="2">
      <t>リョコウ</t>
    </rPh>
    <rPh sb="2" eb="5">
      <t>アッセンギョウ</t>
    </rPh>
    <rPh sb="6" eb="8">
      <t>リョコウ</t>
    </rPh>
    <rPh sb="8" eb="10">
      <t>ダイリ</t>
    </rPh>
    <rPh sb="10" eb="11">
      <t>テン</t>
    </rPh>
    <phoneticPr fontId="29"/>
  </si>
  <si>
    <t>2306</t>
  </si>
  <si>
    <t>48</t>
  </si>
  <si>
    <t>一般乗用旅客自動車運送業（タクシー）</t>
    <rPh sb="0" eb="2">
      <t>イッパン</t>
    </rPh>
    <rPh sb="2" eb="4">
      <t>ジョウヨウ</t>
    </rPh>
    <rPh sb="4" eb="6">
      <t>リョカク</t>
    </rPh>
    <rPh sb="6" eb="9">
      <t>ジドウシャ</t>
    </rPh>
    <rPh sb="9" eb="12">
      <t>ウンソウギョウ</t>
    </rPh>
    <phoneticPr fontId="29"/>
  </si>
  <si>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</si>
  <si>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</si>
  <si>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</si>
  <si>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</si>
  <si>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</si>
  <si>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54</t>
  </si>
  <si>
    <t>物品賃貸業</t>
    <rPh sb="0" eb="2">
      <t>ブッピン</t>
    </rPh>
    <rPh sb="2" eb="5">
      <t>チンタイギョウ</t>
    </rPh>
    <phoneticPr fontId="29"/>
  </si>
  <si>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</si>
  <si>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</si>
  <si>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</si>
  <si>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29"/>
  </si>
  <si>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</si>
  <si>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</si>
  <si>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</si>
  <si>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</si>
  <si>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</si>
  <si>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</si>
  <si>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</si>
  <si>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</si>
  <si>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</si>
  <si>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</si>
  <si>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</si>
  <si>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</si>
  <si>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</si>
  <si>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</si>
  <si>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</si>
  <si>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</si>
  <si>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</si>
  <si>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</si>
  <si>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</si>
  <si>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</si>
  <si>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</si>
  <si>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</si>
  <si>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</si>
  <si>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</si>
  <si>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</si>
  <si>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</si>
  <si>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</si>
  <si>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</si>
  <si>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</si>
  <si>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</si>
  <si>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</si>
  <si>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</si>
  <si>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</si>
  <si>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29"/>
  </si>
  <si>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</si>
  <si>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</si>
  <si>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</si>
  <si>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</si>
  <si>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</si>
  <si>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</si>
  <si>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</si>
  <si>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</si>
  <si>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</si>
  <si>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</si>
  <si>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29"/>
  </si>
  <si>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</si>
  <si>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</si>
  <si>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</si>
  <si>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</si>
  <si>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</si>
  <si>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</si>
  <si>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</si>
  <si>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</si>
  <si>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楽天ペイ1600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</si>
  <si>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</si>
  <si>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</si>
  <si>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</si>
  <si>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</si>
  <si>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</si>
  <si>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</si>
  <si>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</si>
  <si>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</si>
  <si>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</si>
  <si>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</si>
  <si>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　PayPay Map</t>
    <phoneticPr fontId="3"/>
  </si>
  <si>
    <t>←楽天ペイ判定</t>
  </si>
  <si>
    <t>業種</t>
  </si>
  <si>
    <t>Q14</t>
  </si>
  <si>
    <t>取扱商品</t>
  </si>
  <si>
    <t>Q15</t>
  </si>
  <si>
    <t>　お取り扱い商品</t>
    <rPh sb="2" eb="3">
      <t>ト</t>
    </rPh>
    <rPh sb="4" eb="5">
      <t>アツカ</t>
    </rPh>
    <rPh sb="6" eb="8">
      <t>ショウヒン</t>
    </rPh>
    <phoneticPr fontId="3"/>
  </si>
  <si>
    <t>5203793</t>
  </si>
  <si>
    <t>霜田 つばさ</t>
  </si>
  <si>
    <t>申込端末(1)</t>
    <rPh sb="0" eb="2">
      <t>モウシコミ</t>
    </rPh>
    <rPh sb="2" eb="4">
      <t>タンマツ</t>
    </rPh>
    <phoneticPr fontId="1"/>
  </si>
  <si>
    <t>申込端末(2)</t>
    <rPh sb="0" eb="2">
      <t>モウシコミ</t>
    </rPh>
    <rPh sb="2" eb="4">
      <t>タンマツ</t>
    </rPh>
    <phoneticPr fontId="1"/>
  </si>
  <si>
    <t>申込端末(3)</t>
    <rPh sb="0" eb="2">
      <t>モウシコミ</t>
    </rPh>
    <rPh sb="2" eb="4">
      <t>タンマツ</t>
    </rPh>
    <phoneticPr fontId="1"/>
  </si>
  <si>
    <t>申込端末(4)</t>
    <rPh sb="0" eb="2">
      <t>モウシコミ</t>
    </rPh>
    <rPh sb="2" eb="4">
      <t>タンマツ</t>
    </rPh>
    <phoneticPr fontId="1"/>
  </si>
  <si>
    <t>申込端末(5)</t>
    <rPh sb="0" eb="2">
      <t>モウシコミ</t>
    </rPh>
    <rPh sb="2" eb="4">
      <t>タンマツ</t>
    </rPh>
    <phoneticPr fontId="1"/>
  </si>
  <si>
    <t>端末備考(1)</t>
    <rPh sb="0" eb="2">
      <t>タンマツ</t>
    </rPh>
    <rPh sb="2" eb="4">
      <t>ビコウ</t>
    </rPh>
    <phoneticPr fontId="1"/>
  </si>
  <si>
    <t>端末備考(2)</t>
    <rPh sb="0" eb="2">
      <t>タンマツ</t>
    </rPh>
    <rPh sb="2" eb="4">
      <t>ビコウ</t>
    </rPh>
    <phoneticPr fontId="1"/>
  </si>
  <si>
    <t>②</t>
    <phoneticPr fontId="3"/>
  </si>
  <si>
    <t>初期費用</t>
    <rPh sb="0" eb="2">
      <t>ショキ</t>
    </rPh>
    <rPh sb="2" eb="4">
      <t>ヒヨウ</t>
    </rPh>
    <phoneticPr fontId="3"/>
  </si>
  <si>
    <t>利用有無</t>
    <rPh sb="0" eb="2">
      <t>リヨウ</t>
    </rPh>
    <rPh sb="2" eb="4">
      <t>ウム</t>
    </rPh>
    <phoneticPr fontId="3"/>
  </si>
  <si>
    <t>　　・クレジットカードおよび銀聯カードによる決済において、万が一、第三者が不正に入手したカード情報を利用したことにより生じる未回収金は、「SBPSクレジットカード加盟店規約&lt;対面取引用&gt;」に従って</t>
  </si>
  <si>
    <t xml:space="preserve">     チャージバック（立替代金の支払い取消）を行いますので、加盟店さまのご負担となります。</t>
  </si>
  <si>
    <t>申し込みする決済手段毎に適用される「「端末決済サービス」に関する規約および</t>
  </si>
  <si>
    <t>Visa・MasterCard</t>
    <phoneticPr fontId="3"/>
  </si>
  <si>
    <t>銀聯</t>
    <phoneticPr fontId="3"/>
  </si>
  <si>
    <t>非</t>
    <rPh sb="0" eb="1">
      <t>ヒ</t>
    </rPh>
    <phoneticPr fontId="3"/>
  </si>
  <si>
    <t>【iD・WAON用】業種シート</t>
    <rPh sb="10" eb="12">
      <t>ギョウシュ</t>
    </rPh>
    <phoneticPr fontId="3"/>
  </si>
  <si>
    <t>園芸サービス業</t>
    <rPh sb="0" eb="2">
      <t>エンゲイ</t>
    </rPh>
    <rPh sb="6" eb="7">
      <t>ギョウ</t>
    </rPh>
    <phoneticPr fontId="4"/>
  </si>
  <si>
    <t>一般官工事業</t>
    <rPh sb="0" eb="2">
      <t>イッパン</t>
    </rPh>
    <rPh sb="2" eb="3">
      <t>カン</t>
    </rPh>
    <rPh sb="3" eb="6">
      <t>コウジギョウ</t>
    </rPh>
    <phoneticPr fontId="4"/>
  </si>
  <si>
    <t>印刷業</t>
    <rPh sb="0" eb="2">
      <t>インサツ</t>
    </rPh>
    <rPh sb="2" eb="3">
      <t>ギョウ</t>
    </rPh>
    <phoneticPr fontId="4"/>
  </si>
  <si>
    <t>タクシー（オフライン）</t>
  </si>
  <si>
    <t>タクシー（オンライン）</t>
  </si>
  <si>
    <t>自動車旅客運送業</t>
    <rPh sb="0" eb="3">
      <t>ジドウシャ</t>
    </rPh>
    <rPh sb="3" eb="5">
      <t>リョキャク</t>
    </rPh>
    <rPh sb="5" eb="8">
      <t>ウンソウギョウ</t>
    </rPh>
    <phoneticPr fontId="4"/>
  </si>
  <si>
    <t>引越し</t>
    <rPh sb="0" eb="2">
      <t>ヒッコ</t>
    </rPh>
    <phoneticPr fontId="4"/>
  </si>
  <si>
    <t>宅配</t>
    <rPh sb="0" eb="2">
      <t>タクハイ</t>
    </rPh>
    <phoneticPr fontId="4"/>
  </si>
  <si>
    <t>道路貨物運送業</t>
    <rPh sb="0" eb="2">
      <t>ドウロ</t>
    </rPh>
    <rPh sb="2" eb="4">
      <t>カモツ</t>
    </rPh>
    <rPh sb="4" eb="7">
      <t>ウンソウギョウ</t>
    </rPh>
    <phoneticPr fontId="4"/>
  </si>
  <si>
    <t>海運運送業</t>
    <rPh sb="0" eb="2">
      <t>カイウン</t>
    </rPh>
    <rPh sb="2" eb="5">
      <t>ウンソウギョウ</t>
    </rPh>
    <phoneticPr fontId="4"/>
  </si>
  <si>
    <t>航空運送業</t>
    <rPh sb="0" eb="2">
      <t>コウクウ</t>
    </rPh>
    <rPh sb="2" eb="5">
      <t>ウンソウギョウ</t>
    </rPh>
    <phoneticPr fontId="4"/>
  </si>
  <si>
    <t>旅行代理店</t>
    <rPh sb="0" eb="2">
      <t>リョコウ</t>
    </rPh>
    <rPh sb="2" eb="4">
      <t>ダイリ</t>
    </rPh>
    <rPh sb="4" eb="5">
      <t>テン</t>
    </rPh>
    <phoneticPr fontId="4"/>
  </si>
  <si>
    <t>その他運送業</t>
    <rPh sb="2" eb="3">
      <t>タ</t>
    </rPh>
    <rPh sb="3" eb="6">
      <t>ウンソウギョウ</t>
    </rPh>
    <phoneticPr fontId="4"/>
  </si>
  <si>
    <t>第一種電機通信事業者</t>
    <rPh sb="0" eb="1">
      <t>ダイ</t>
    </rPh>
    <rPh sb="1" eb="3">
      <t>イッシュ</t>
    </rPh>
    <rPh sb="3" eb="5">
      <t>デンキ</t>
    </rPh>
    <rPh sb="5" eb="7">
      <t>ツウシン</t>
    </rPh>
    <rPh sb="7" eb="9">
      <t>ジギョウ</t>
    </rPh>
    <rPh sb="9" eb="10">
      <t>シャ</t>
    </rPh>
    <phoneticPr fontId="4"/>
  </si>
  <si>
    <t>通信</t>
    <rPh sb="0" eb="2">
      <t>ツウシン</t>
    </rPh>
    <phoneticPr fontId="4"/>
  </si>
  <si>
    <t>百貨店</t>
    <rPh sb="0" eb="3">
      <t>ヒャッカテン</t>
    </rPh>
    <phoneticPr fontId="4"/>
  </si>
  <si>
    <t>ファッションビル</t>
  </si>
  <si>
    <t>ホームセンター</t>
  </si>
  <si>
    <t>ディスカウントショップ</t>
  </si>
  <si>
    <t>スーパー（ＳＭ）</t>
  </si>
  <si>
    <t>スーパー（量販店）</t>
    <rPh sb="5" eb="8">
      <t>リョウハンテン</t>
    </rPh>
    <phoneticPr fontId="4"/>
  </si>
  <si>
    <t>ホームセンター（小規模）</t>
    <rPh sb="8" eb="11">
      <t>ショウキボ</t>
    </rPh>
    <phoneticPr fontId="4"/>
  </si>
  <si>
    <t>アウトレットモール</t>
  </si>
  <si>
    <t>ハイパーマーケット</t>
  </si>
  <si>
    <t>呉服・服地</t>
    <rPh sb="0" eb="2">
      <t>ゴフク</t>
    </rPh>
    <rPh sb="3" eb="5">
      <t>フクジ</t>
    </rPh>
    <phoneticPr fontId="4"/>
  </si>
  <si>
    <t>寝具</t>
    <rPh sb="0" eb="2">
      <t>シング</t>
    </rPh>
    <phoneticPr fontId="4"/>
  </si>
  <si>
    <t>紳士服</t>
    <rPh sb="0" eb="3">
      <t>シンシフク</t>
    </rPh>
    <phoneticPr fontId="4"/>
  </si>
  <si>
    <t>子供服</t>
    <rPh sb="0" eb="3">
      <t>コドモフク</t>
    </rPh>
    <phoneticPr fontId="4"/>
  </si>
  <si>
    <t>婦人服</t>
    <rPh sb="0" eb="3">
      <t>フジンフク</t>
    </rPh>
    <phoneticPr fontId="4"/>
  </si>
  <si>
    <t>くつ</t>
  </si>
  <si>
    <t>カバン</t>
  </si>
  <si>
    <t>輸入品・雑貨</t>
    <rPh sb="0" eb="2">
      <t>ユニュウ</t>
    </rPh>
    <rPh sb="2" eb="3">
      <t>ヒン</t>
    </rPh>
    <rPh sb="4" eb="6">
      <t>ザッカ</t>
    </rPh>
    <phoneticPr fontId="4"/>
  </si>
  <si>
    <t>洋品雑貨</t>
    <rPh sb="0" eb="2">
      <t>ヨウヒン</t>
    </rPh>
    <rPh sb="2" eb="4">
      <t>ザッカ</t>
    </rPh>
    <phoneticPr fontId="4"/>
  </si>
  <si>
    <t>食料品・雑貨</t>
    <rPh sb="0" eb="3">
      <t>ショクリョウヒン</t>
    </rPh>
    <rPh sb="4" eb="6">
      <t>ザッカ</t>
    </rPh>
    <phoneticPr fontId="4"/>
  </si>
  <si>
    <t>服飾　雑貨</t>
    <rPh sb="0" eb="2">
      <t>フクショク</t>
    </rPh>
    <rPh sb="3" eb="5">
      <t>ザッカ</t>
    </rPh>
    <phoneticPr fontId="4"/>
  </si>
  <si>
    <t>自動車・バイク小売業</t>
    <rPh sb="0" eb="3">
      <t>ジドウシャ</t>
    </rPh>
    <phoneticPr fontId="4"/>
  </si>
  <si>
    <t>自転車小売業</t>
    <rPh sb="0" eb="3">
      <t>ジテンシャ</t>
    </rPh>
    <rPh sb="3" eb="6">
      <t>コウリギョウ</t>
    </rPh>
    <phoneticPr fontId="4"/>
  </si>
  <si>
    <t>家具・インテリア</t>
    <rPh sb="0" eb="2">
      <t>カグ</t>
    </rPh>
    <phoneticPr fontId="4"/>
  </si>
  <si>
    <t>家電品</t>
    <rPh sb="0" eb="3">
      <t>カデンヒン</t>
    </rPh>
    <phoneticPr fontId="4"/>
  </si>
  <si>
    <t>0191</t>
  </si>
  <si>
    <t>パソコン・OA機器</t>
    <rPh sb="7" eb="9">
      <t>キキ</t>
    </rPh>
    <phoneticPr fontId="4"/>
  </si>
  <si>
    <t>医薬品・医療用品</t>
    <rPh sb="0" eb="3">
      <t>イヤクヒン</t>
    </rPh>
    <rPh sb="4" eb="6">
      <t>イリョウ</t>
    </rPh>
    <rPh sb="6" eb="8">
      <t>ヨウヒン</t>
    </rPh>
    <phoneticPr fontId="4"/>
  </si>
  <si>
    <t>化粧品</t>
    <rPh sb="0" eb="3">
      <t>ケショウヒン</t>
    </rPh>
    <phoneticPr fontId="4"/>
  </si>
  <si>
    <t>書籍</t>
    <rPh sb="0" eb="2">
      <t>ショセキ</t>
    </rPh>
    <phoneticPr fontId="4"/>
  </si>
  <si>
    <t>事務用品</t>
    <rPh sb="0" eb="2">
      <t>ジム</t>
    </rPh>
    <rPh sb="2" eb="4">
      <t>ヨウヒン</t>
    </rPh>
    <phoneticPr fontId="4"/>
  </si>
  <si>
    <t>新聞販売</t>
    <rPh sb="0" eb="2">
      <t>シンブン</t>
    </rPh>
    <rPh sb="2" eb="4">
      <t>ハンバイ</t>
    </rPh>
    <phoneticPr fontId="4"/>
  </si>
  <si>
    <t>スポーツ用品</t>
    <rPh sb="4" eb="6">
      <t>ヨウヒン</t>
    </rPh>
    <phoneticPr fontId="4"/>
  </si>
  <si>
    <t>ゴルフ用品</t>
    <rPh sb="3" eb="5">
      <t>ヨウヒン</t>
    </rPh>
    <phoneticPr fontId="4"/>
  </si>
  <si>
    <t>釣り具</t>
    <rPh sb="0" eb="1">
      <t>ツ</t>
    </rPh>
    <rPh sb="2" eb="3">
      <t>グ</t>
    </rPh>
    <phoneticPr fontId="4"/>
  </si>
  <si>
    <t>玩具</t>
    <rPh sb="0" eb="2">
      <t>ガング</t>
    </rPh>
    <phoneticPr fontId="4"/>
  </si>
  <si>
    <t>楽器</t>
    <rPh sb="0" eb="2">
      <t>ガッキ</t>
    </rPh>
    <phoneticPr fontId="4"/>
  </si>
  <si>
    <t>ＣＤ・ビデオ販売</t>
    <rPh sb="6" eb="8">
      <t>ハンバイ</t>
    </rPh>
    <phoneticPr fontId="4"/>
  </si>
  <si>
    <t>眼鏡</t>
    <rPh sb="0" eb="2">
      <t>メガネ</t>
    </rPh>
    <phoneticPr fontId="4"/>
  </si>
  <si>
    <t>時計</t>
    <rPh sb="0" eb="2">
      <t>トケイ</t>
    </rPh>
    <phoneticPr fontId="4"/>
  </si>
  <si>
    <t>貴金属・宝石</t>
    <rPh sb="0" eb="3">
      <t>キキンゾク</t>
    </rPh>
    <rPh sb="4" eb="6">
      <t>ホウセキ</t>
    </rPh>
    <phoneticPr fontId="4"/>
  </si>
  <si>
    <t>駅売店</t>
    <rPh sb="0" eb="1">
      <t>エキ</t>
    </rPh>
    <rPh sb="1" eb="3">
      <t>バイテン</t>
    </rPh>
    <rPh sb="2" eb="3">
      <t>テン</t>
    </rPh>
    <phoneticPr fontId="4"/>
  </si>
  <si>
    <t>携帯電話</t>
    <rPh sb="0" eb="2">
      <t>ケイタイ</t>
    </rPh>
    <rPh sb="2" eb="4">
      <t>デンワ</t>
    </rPh>
    <phoneticPr fontId="4"/>
  </si>
  <si>
    <t>木材・木製品</t>
    <rPh sb="0" eb="2">
      <t>モクザイ</t>
    </rPh>
    <rPh sb="3" eb="6">
      <t>モクセイヒン</t>
    </rPh>
    <phoneticPr fontId="4"/>
  </si>
  <si>
    <t>仏具・雑貨</t>
    <rPh sb="0" eb="2">
      <t>ブツグ</t>
    </rPh>
    <rPh sb="3" eb="5">
      <t>ザッカ</t>
    </rPh>
    <phoneticPr fontId="4"/>
  </si>
  <si>
    <t>花・植木小売業</t>
    <rPh sb="0" eb="1">
      <t>ハナ</t>
    </rPh>
    <rPh sb="2" eb="4">
      <t>ウエキ</t>
    </rPh>
    <rPh sb="4" eb="7">
      <t>コウリギョウ</t>
    </rPh>
    <phoneticPr fontId="4"/>
  </si>
  <si>
    <t>ペットショップ</t>
  </si>
  <si>
    <t>チケット販売</t>
    <rPh sb="4" eb="6">
      <t>ハンバイ</t>
    </rPh>
    <phoneticPr fontId="4"/>
  </si>
  <si>
    <t>通信販売（TV・新聞）</t>
    <rPh sb="0" eb="2">
      <t>ツウシン</t>
    </rPh>
    <rPh sb="2" eb="4">
      <t>ハンバイ</t>
    </rPh>
    <rPh sb="8" eb="10">
      <t>シンブン</t>
    </rPh>
    <phoneticPr fontId="4"/>
  </si>
  <si>
    <t>通信販売（その他）</t>
    <rPh sb="0" eb="2">
      <t>ツウシン</t>
    </rPh>
    <rPh sb="2" eb="4">
      <t>ハンバイ</t>
    </rPh>
    <rPh sb="7" eb="8">
      <t>タ</t>
    </rPh>
    <phoneticPr fontId="4"/>
  </si>
  <si>
    <t>和食</t>
    <rPh sb="0" eb="2">
      <t>ワショク</t>
    </rPh>
    <phoneticPr fontId="4"/>
  </si>
  <si>
    <t>洋食</t>
    <rPh sb="0" eb="2">
      <t>ヨウショク</t>
    </rPh>
    <phoneticPr fontId="4"/>
  </si>
  <si>
    <t>中華</t>
    <rPh sb="0" eb="2">
      <t>チュウカ</t>
    </rPh>
    <phoneticPr fontId="4"/>
  </si>
  <si>
    <t>その他飲食</t>
    <rPh sb="2" eb="3">
      <t>タ</t>
    </rPh>
    <rPh sb="3" eb="5">
      <t>インショク</t>
    </rPh>
    <phoneticPr fontId="4"/>
  </si>
  <si>
    <t>居酒屋</t>
    <rPh sb="0" eb="3">
      <t>イザカヤ</t>
    </rPh>
    <phoneticPr fontId="4"/>
  </si>
  <si>
    <t>自動販売機</t>
    <rPh sb="0" eb="2">
      <t>ジドウ</t>
    </rPh>
    <rPh sb="2" eb="5">
      <t>ハンバイキ</t>
    </rPh>
    <phoneticPr fontId="4"/>
  </si>
  <si>
    <t>普通銀行</t>
    <rPh sb="0" eb="2">
      <t>フツウ</t>
    </rPh>
    <rPh sb="2" eb="4">
      <t>ギンコウ</t>
    </rPh>
    <phoneticPr fontId="4"/>
  </si>
  <si>
    <t>生命保険</t>
    <rPh sb="0" eb="2">
      <t>セイメイ</t>
    </rPh>
    <rPh sb="2" eb="4">
      <t>ホケン</t>
    </rPh>
    <phoneticPr fontId="4"/>
  </si>
  <si>
    <t>損害保険</t>
    <rPh sb="0" eb="2">
      <t>ソンガイ</t>
    </rPh>
    <rPh sb="2" eb="4">
      <t>ホケン</t>
    </rPh>
    <phoneticPr fontId="4"/>
  </si>
  <si>
    <t>損害保険代理店</t>
    <rPh sb="0" eb="2">
      <t>ソンガイ</t>
    </rPh>
    <rPh sb="2" eb="4">
      <t>ホケン</t>
    </rPh>
    <rPh sb="4" eb="7">
      <t>ダイリテン</t>
    </rPh>
    <phoneticPr fontId="4"/>
  </si>
  <si>
    <t>理容・美容（かつら）</t>
    <rPh sb="0" eb="2">
      <t>リヨウ</t>
    </rPh>
    <rPh sb="3" eb="5">
      <t>ビヨウ</t>
    </rPh>
    <phoneticPr fontId="4"/>
  </si>
  <si>
    <t>ＤＰＥ</t>
  </si>
  <si>
    <t>葬祭業・催事</t>
    <rPh sb="0" eb="2">
      <t>ソウサイ</t>
    </rPh>
    <rPh sb="2" eb="3">
      <t>ギョウ</t>
    </rPh>
    <rPh sb="4" eb="6">
      <t>サイジ</t>
    </rPh>
    <phoneticPr fontId="4"/>
  </si>
  <si>
    <t>宴会場</t>
    <rPh sb="0" eb="3">
      <t>エンカイジョウ</t>
    </rPh>
    <phoneticPr fontId="4"/>
  </si>
  <si>
    <t>結婚式場</t>
    <rPh sb="0" eb="2">
      <t>ケッコン</t>
    </rPh>
    <rPh sb="2" eb="4">
      <t>シキジョウ</t>
    </rPh>
    <phoneticPr fontId="4"/>
  </si>
  <si>
    <t>映画館・興行</t>
    <rPh sb="0" eb="2">
      <t>エイガ</t>
    </rPh>
    <rPh sb="2" eb="3">
      <t>カン</t>
    </rPh>
    <rPh sb="4" eb="6">
      <t>コウギョウ</t>
    </rPh>
    <phoneticPr fontId="4"/>
  </si>
  <si>
    <t>劇場・野球場</t>
    <rPh sb="0" eb="2">
      <t>ゲキジョウ</t>
    </rPh>
    <rPh sb="3" eb="6">
      <t>ヤキュウジョウ</t>
    </rPh>
    <phoneticPr fontId="4"/>
  </si>
  <si>
    <t>ゴルフ場・競技場</t>
    <rPh sb="3" eb="4">
      <t>ジョウ</t>
    </rPh>
    <rPh sb="5" eb="8">
      <t>キョウギジョウ</t>
    </rPh>
    <phoneticPr fontId="4"/>
  </si>
  <si>
    <t>遊園地・娯楽施設</t>
    <rPh sb="0" eb="3">
      <t>ユウエンチ</t>
    </rPh>
    <rPh sb="4" eb="6">
      <t>ゴラク</t>
    </rPh>
    <rPh sb="6" eb="8">
      <t>シセツ</t>
    </rPh>
    <phoneticPr fontId="4"/>
  </si>
  <si>
    <t>カラオケ</t>
  </si>
  <si>
    <t>映画館（ワーナー）</t>
  </si>
  <si>
    <t>映画館</t>
    <rPh sb="0" eb="3">
      <t>エイガカン</t>
    </rPh>
    <phoneticPr fontId="4"/>
  </si>
  <si>
    <t>ゴルフ練習場</t>
    <rPh sb="3" eb="6">
      <t>レンシュウジョウ</t>
    </rPh>
    <phoneticPr fontId="4"/>
  </si>
  <si>
    <t>サウナ</t>
  </si>
  <si>
    <t>テーマパーク</t>
  </si>
  <si>
    <t>駐車場</t>
    <rPh sb="0" eb="3">
      <t>チュウシャジョウ</t>
    </rPh>
    <phoneticPr fontId="4"/>
  </si>
  <si>
    <t>自動車・車検・整備</t>
    <rPh sb="0" eb="3">
      <t>ジドウシャ</t>
    </rPh>
    <rPh sb="4" eb="6">
      <t>シャケン</t>
    </rPh>
    <rPh sb="7" eb="9">
      <t>セイビ</t>
    </rPh>
    <phoneticPr fontId="4"/>
  </si>
  <si>
    <t>鍵修理業</t>
    <rPh sb="0" eb="1">
      <t>カギ</t>
    </rPh>
    <rPh sb="1" eb="3">
      <t>シュウリ</t>
    </rPh>
    <rPh sb="3" eb="4">
      <t>ギョウ</t>
    </rPh>
    <phoneticPr fontId="4"/>
  </si>
  <si>
    <t>専門店会・商店会</t>
    <rPh sb="0" eb="2">
      <t>センモン</t>
    </rPh>
    <rPh sb="2" eb="3">
      <t>テン</t>
    </rPh>
    <rPh sb="3" eb="4">
      <t>カイ</t>
    </rPh>
    <rPh sb="5" eb="7">
      <t>ショウテン</t>
    </rPh>
    <rPh sb="7" eb="8">
      <t>カイ</t>
    </rPh>
    <phoneticPr fontId="4"/>
  </si>
  <si>
    <t>農林漁業協同組合</t>
    <rPh sb="0" eb="2">
      <t>ノウリン</t>
    </rPh>
    <rPh sb="2" eb="4">
      <t>ギョギョウ</t>
    </rPh>
    <rPh sb="4" eb="6">
      <t>キョウドウ</t>
    </rPh>
    <rPh sb="6" eb="8">
      <t>クミアイ</t>
    </rPh>
    <phoneticPr fontId="4"/>
  </si>
  <si>
    <t>CS/BS/CATV</t>
  </si>
  <si>
    <t>放送・広告</t>
    <rPh sb="0" eb="2">
      <t>ホウソウ</t>
    </rPh>
    <rPh sb="3" eb="5">
      <t>コウコク</t>
    </rPh>
    <phoneticPr fontId="4"/>
  </si>
  <si>
    <t>公共放送</t>
    <rPh sb="0" eb="2">
      <t>コウキョウ</t>
    </rPh>
    <rPh sb="2" eb="4">
      <t>ホウソウ</t>
    </rPh>
    <phoneticPr fontId="4"/>
  </si>
  <si>
    <t>病院・医療</t>
    <rPh sb="0" eb="2">
      <t>ビョウイン</t>
    </rPh>
    <rPh sb="3" eb="5">
      <t>イリョウ</t>
    </rPh>
    <phoneticPr fontId="4"/>
  </si>
  <si>
    <t>整体・接骨院</t>
    <rPh sb="0" eb="2">
      <t>セイタイ</t>
    </rPh>
    <rPh sb="3" eb="5">
      <t>セッコツ</t>
    </rPh>
    <rPh sb="5" eb="6">
      <t>イン</t>
    </rPh>
    <phoneticPr fontId="4"/>
  </si>
  <si>
    <t>動物病院</t>
    <rPh sb="0" eb="2">
      <t>ドウブツ</t>
    </rPh>
    <rPh sb="2" eb="4">
      <t>ビョウイン</t>
    </rPh>
    <phoneticPr fontId="4"/>
  </si>
  <si>
    <t>歯科</t>
    <rPh sb="0" eb="2">
      <t>シカ</t>
    </rPh>
    <phoneticPr fontId="4"/>
  </si>
  <si>
    <t>教育（英会話・予備校）</t>
    <rPh sb="0" eb="2">
      <t>キョウイク</t>
    </rPh>
    <rPh sb="3" eb="6">
      <t>エイカイワ</t>
    </rPh>
    <rPh sb="7" eb="10">
      <t>ヨビコウ</t>
    </rPh>
    <phoneticPr fontId="4"/>
  </si>
  <si>
    <t>郵便貯金会館</t>
    <rPh sb="0" eb="2">
      <t>ユウビン</t>
    </rPh>
    <rPh sb="2" eb="4">
      <t>チョキン</t>
    </rPh>
    <rPh sb="4" eb="6">
      <t>カイカン</t>
    </rPh>
    <phoneticPr fontId="4"/>
  </si>
  <si>
    <t>高速道路</t>
    <rPh sb="0" eb="2">
      <t>コウソク</t>
    </rPh>
    <rPh sb="2" eb="4">
      <t>ドウロ</t>
    </rPh>
    <phoneticPr fontId="4"/>
  </si>
  <si>
    <t>公共事業</t>
    <rPh sb="0" eb="2">
      <t>コウキョウ</t>
    </rPh>
    <rPh sb="2" eb="4">
      <t>ジギョウ</t>
    </rPh>
    <phoneticPr fontId="4"/>
  </si>
  <si>
    <t>非営利団体</t>
    <rPh sb="0" eb="3">
      <t>ヒエイリ</t>
    </rPh>
    <rPh sb="3" eb="5">
      <t>ダンタイ</t>
    </rPh>
    <phoneticPr fontId="4"/>
  </si>
  <si>
    <t>国民年金保険料</t>
    <rPh sb="0" eb="2">
      <t>コクミン</t>
    </rPh>
    <rPh sb="2" eb="4">
      <t>ネンキン</t>
    </rPh>
    <rPh sb="4" eb="7">
      <t>ホケンリョウ</t>
    </rPh>
    <phoneticPr fontId="4"/>
  </si>
  <si>
    <t>ボーリング場</t>
  </si>
  <si>
    <t>セキュリティーサービス</t>
  </si>
  <si>
    <t>技術サービス</t>
  </si>
  <si>
    <t>信販（メーカー系・地域）</t>
  </si>
  <si>
    <t>不動産賃貸</t>
  </si>
  <si>
    <t>リース</t>
  </si>
  <si>
    <t>スポーツクラブ</t>
  </si>
  <si>
    <t>スポーツクラブ（イオングループ）</t>
  </si>
  <si>
    <t>ホテル・旅館（ホテル協会）</t>
  </si>
  <si>
    <t>ホテル・旅館</t>
  </si>
  <si>
    <t>衣服リフォーム</t>
  </si>
  <si>
    <t>CD・ビデオレンタル</t>
    <phoneticPr fontId="3"/>
  </si>
  <si>
    <t>バー・クラブ</t>
  </si>
  <si>
    <t>ファミリーレストラン</t>
  </si>
  <si>
    <t>ファーストフード（ﾏｸﾄﾞ限定）</t>
    <rPh sb="13" eb="15">
      <t>ゲンテイ</t>
    </rPh>
    <phoneticPr fontId="4"/>
  </si>
  <si>
    <t>通信販売（リンク）</t>
  </si>
  <si>
    <t>通信販売（パソコン通信）</t>
  </si>
  <si>
    <t>通信販売（インターネット）</t>
  </si>
  <si>
    <t>通信販売（カタログ・チラシ）</t>
  </si>
  <si>
    <t>大型ディスカウントストア</t>
  </si>
  <si>
    <t>メンバー系チェーンストア</t>
  </si>
  <si>
    <t>会員制ホールセールクラブ</t>
  </si>
  <si>
    <t>インターネットプロバイダー</t>
  </si>
  <si>
    <t>クレジットカード
ICリスクパラメータ</t>
    <phoneticPr fontId="3"/>
  </si>
  <si>
    <t>最大目標パーセンテージ</t>
    <phoneticPr fontId="3"/>
  </si>
  <si>
    <t>目標パーセンテージ</t>
    <phoneticPr fontId="3"/>
  </si>
  <si>
    <t>端末フロアリミット</t>
    <phoneticPr fontId="3"/>
  </si>
  <si>
    <t>しきい値</t>
    <phoneticPr fontId="3"/>
  </si>
  <si>
    <r>
      <t xml:space="preserve">支払方法
</t>
    </r>
    <r>
      <rPr>
        <sz val="9"/>
        <color theme="1"/>
        <rFont val="Meiryo UI"/>
        <family val="3"/>
        <charset val="128"/>
      </rPr>
      <t>（Visa/Mastercard/JCB/AMEX
/Diners/DISCOVER）</t>
    </r>
    <r>
      <rPr>
        <sz val="10"/>
        <rFont val="Meiryo UI"/>
        <family val="3"/>
        <charset val="128"/>
      </rPr>
      <t xml:space="preserve">
</t>
    </r>
    <r>
      <rPr>
        <sz val="10"/>
        <color rgb="FFFF0000"/>
        <rFont val="Meiryo UI"/>
        <family val="3"/>
        <charset val="128"/>
      </rPr>
      <t>※「1回払い」以外の支払い方法をご利用　　希望の場合は、右欄に✓をご記入ください。</t>
    </r>
    <rPh sb="0" eb="2">
      <t>シハラ</t>
    </rPh>
    <rPh sb="2" eb="4">
      <t>ホウホウ</t>
    </rPh>
    <phoneticPr fontId="4"/>
  </si>
  <si>
    <r>
      <rPr>
        <sz val="14"/>
        <rFont val="Meiryo UI"/>
        <family val="3"/>
        <charset val="128"/>
      </rPr>
      <t>JCB</t>
    </r>
    <r>
      <rPr>
        <sz val="12"/>
        <rFont val="Meiryo UI"/>
        <family val="3"/>
        <charset val="128"/>
      </rPr>
      <t>･AMEX･Diners･DISCOVER</t>
    </r>
    <phoneticPr fontId="3"/>
  </si>
  <si>
    <t>JCB</t>
    <phoneticPr fontId="3"/>
  </si>
  <si>
    <t>Visa/MasterCard</t>
    <phoneticPr fontId="3"/>
  </si>
  <si>
    <t>00</t>
    <phoneticPr fontId="3"/>
  </si>
  <si>
    <t>00</t>
    <phoneticPr fontId="3"/>
  </si>
  <si>
    <t>0000000</t>
    <phoneticPr fontId="3"/>
  </si>
  <si>
    <t>0000000</t>
    <phoneticPr fontId="3"/>
  </si>
  <si>
    <t>0000000</t>
    <phoneticPr fontId="3"/>
  </si>
  <si>
    <t>0000000</t>
    <phoneticPr fontId="3"/>
  </si>
  <si>
    <t>00</t>
    <phoneticPr fontId="3"/>
  </si>
  <si>
    <t>申込端末(6)</t>
    <rPh sb="0" eb="2">
      <t>モウシコミ</t>
    </rPh>
    <rPh sb="2" eb="4">
      <t>タンマツ</t>
    </rPh>
    <phoneticPr fontId="1"/>
  </si>
  <si>
    <t>クレードル費用</t>
  </si>
  <si>
    <t>セットアップ費用</t>
  </si>
  <si>
    <t>電子マネーセットアップ費用</t>
  </si>
  <si>
    <t>POS連動ケーブル費用</t>
  </si>
  <si>
    <t>/台</t>
  </si>
  <si>
    <t>台</t>
  </si>
  <si>
    <t>台</t>
    <phoneticPr fontId="3"/>
  </si>
  <si>
    <t>値引き</t>
    <rPh sb="0" eb="2">
      <t>ネビ</t>
    </rPh>
    <phoneticPr fontId="3"/>
  </si>
  <si>
    <t>管理画面</t>
    <rPh sb="0" eb="2">
      <t>カンリ</t>
    </rPh>
    <rPh sb="2" eb="4">
      <t>ガメン</t>
    </rPh>
    <phoneticPr fontId="3"/>
  </si>
  <si>
    <t>コード決済　利用方式</t>
    <phoneticPr fontId="4"/>
  </si>
  <si>
    <t>利用有無</t>
    <rPh sb="0" eb="2">
      <t>リヨウ</t>
    </rPh>
    <rPh sb="2" eb="4">
      <t>ウム</t>
    </rPh>
    <phoneticPr fontId="3"/>
  </si>
  <si>
    <t>代表アカウント</t>
    <phoneticPr fontId="3"/>
  </si>
  <si>
    <t>接続元
固定IPアドレス</t>
    <phoneticPr fontId="3"/>
  </si>
  <si>
    <t>利用する（接続元IP制限あり）</t>
    <phoneticPr fontId="3"/>
  </si>
  <si>
    <t>利用する（接続元IP制限なし）</t>
    <phoneticPr fontId="3"/>
  </si>
  <si>
    <t>①</t>
    <phoneticPr fontId="3"/>
  </si>
  <si>
    <t>④</t>
    <phoneticPr fontId="3"/>
  </si>
  <si>
    <t>②</t>
    <phoneticPr fontId="3"/>
  </si>
  <si>
    <t>③</t>
    <phoneticPr fontId="3"/>
  </si>
  <si>
    <t>⑥</t>
    <phoneticPr fontId="3"/>
  </si>
  <si>
    <t>⑤</t>
    <phoneticPr fontId="3"/>
  </si>
  <si>
    <t>月額固定費</t>
    <rPh sb="0" eb="2">
      <t>ゲツガク</t>
    </rPh>
    <rPh sb="2" eb="5">
      <t>コテイヒ</t>
    </rPh>
    <phoneticPr fontId="3"/>
  </si>
  <si>
    <t>共通決済ｻｰﾋﾞｽ利用料（Type-L）</t>
  </si>
  <si>
    <t>共通決済ｻｰﾋﾞｽ利用料（Type-M）</t>
  </si>
  <si>
    <t>電子ﾏﾈｰ利用料</t>
  </si>
  <si>
    <t>決済管理画面利用料</t>
  </si>
  <si>
    <t>ｺｰﾄﾞ決済利用料</t>
  </si>
  <si>
    <t>月額固定費合計</t>
    <rPh sb="5" eb="7">
      <t>ゴウケイ</t>
    </rPh>
    <phoneticPr fontId="3"/>
  </si>
  <si>
    <t>(税抜)</t>
    <rPh sb="1" eb="2">
      <t>ゼイ</t>
    </rPh>
    <rPh sb="2" eb="3">
      <t>ヌ</t>
    </rPh>
    <phoneticPr fontId="3"/>
  </si>
  <si>
    <t>10624</t>
    <phoneticPr fontId="3"/>
  </si>
  <si>
    <t>ACS（iD）</t>
    <phoneticPr fontId="3"/>
  </si>
  <si>
    <t>業種(ACS)</t>
    <phoneticPr fontId="3"/>
  </si>
  <si>
    <t>315</t>
    <phoneticPr fontId="3"/>
  </si>
  <si>
    <t>10902</t>
    <phoneticPr fontId="3"/>
  </si>
  <si>
    <t>ACS（WAON）</t>
    <phoneticPr fontId="3"/>
  </si>
  <si>
    <t>324</t>
    <phoneticPr fontId="3"/>
  </si>
  <si>
    <t>11002</t>
    <phoneticPr fontId="3"/>
  </si>
  <si>
    <t>クレ（自社センタ）</t>
  </si>
  <si>
    <t>UR8</t>
  </si>
  <si>
    <t>UR8</t>
    <phoneticPr fontId="3"/>
  </si>
  <si>
    <t>UR9</t>
  </si>
  <si>
    <t>UR9</t>
    <phoneticPr fontId="3"/>
  </si>
  <si>
    <t>URA</t>
  </si>
  <si>
    <t>URA</t>
    <phoneticPr fontId="3"/>
  </si>
  <si>
    <t>URB</t>
  </si>
  <si>
    <t>URB</t>
    <phoneticPr fontId="3"/>
  </si>
  <si>
    <t>ICﾘｽｸﾊﾟﾗﾒｰﾀ：最大目標パーセンテージ</t>
  </si>
  <si>
    <t>ICﾘｽｸﾊﾟﾗﾒｰﾀ：目標パーセンテージ</t>
  </si>
  <si>
    <t>ICﾘｽｸﾊﾟﾗﾒｰﾀ：端末フロアリミット</t>
  </si>
  <si>
    <t>ICﾘｽｸﾊﾟﾗﾒｰﾀ：しきい値</t>
  </si>
  <si>
    <t>　【楽天Edy用記入シート】業種シート から業種をご選択ください。</t>
  </si>
  <si>
    <t>※【JCB用記入シート】業態シート　のご入力が必要です。</t>
  </si>
  <si>
    <t>※【iD・WAON用記入シート】業種シート　のご入力が必要です。</t>
  </si>
  <si>
    <t>コード決済　利用方式</t>
    <phoneticPr fontId="4"/>
  </si>
  <si>
    <t>←XTEN反映金額</t>
    <rPh sb="5" eb="7">
      <t>ハンエイ</t>
    </rPh>
    <rPh sb="7" eb="9">
      <t>キンガク</t>
    </rPh>
    <phoneticPr fontId="3"/>
  </si>
  <si>
    <t>/店舗</t>
    <rPh sb="1" eb="3">
      <t>テンポ</t>
    </rPh>
    <phoneticPr fontId="3"/>
  </si>
  <si>
    <t>/台</t>
    <phoneticPr fontId="3"/>
  </si>
  <si>
    <t>/台</t>
    <phoneticPr fontId="3"/>
  </si>
  <si>
    <t>/台</t>
    <phoneticPr fontId="3"/>
  </si>
  <si>
    <t>/台</t>
    <phoneticPr fontId="3"/>
  </si>
  <si>
    <t>/台</t>
    <phoneticPr fontId="3"/>
  </si>
  <si>
    <t>JCB</t>
    <phoneticPr fontId="3"/>
  </si>
  <si>
    <t>/本</t>
    <rPh sb="1" eb="2">
      <t>ホン</t>
    </rPh>
    <phoneticPr fontId="3"/>
  </si>
  <si>
    <t>/箱</t>
    <rPh sb="1" eb="2">
      <t>ハコ</t>
    </rPh>
    <phoneticPr fontId="3"/>
  </si>
  <si>
    <t>レシートロール費用（10巻/箱）</t>
    <phoneticPr fontId="3"/>
  </si>
  <si>
    <t>0000</t>
  </si>
  <si>
    <t>業種区分</t>
  </si>
  <si>
    <t>2</t>
  </si>
  <si>
    <t>SmartCode</t>
  </si>
  <si>
    <t>6084:株式会社ポストシステムズ</t>
  </si>
  <si>
    <t>6085:TIS株式会社</t>
    <rPh sb="8" eb="10">
      <t>カブシキ</t>
    </rPh>
    <rPh sb="10" eb="12">
      <t>カイシャ</t>
    </rPh>
    <phoneticPr fontId="3"/>
  </si>
  <si>
    <t>6086:株式会社コード・アール</t>
  </si>
  <si>
    <t>6107:株式会社ホスピタルネット</t>
  </si>
  <si>
    <t>6108:旭精工株式会社</t>
  </si>
  <si>
    <t>規約同意</t>
    <rPh sb="0" eb="4">
      <t>キヤクドウイ</t>
    </rPh>
    <phoneticPr fontId="3"/>
  </si>
  <si>
    <t>アプリプラットフォーム規約の内容を確認し、承認のうえ申し込みいたします。</t>
    <phoneticPr fontId="3"/>
  </si>
  <si>
    <t>　　　　上記内容を承諾いたしました。</t>
    <phoneticPr fontId="3"/>
  </si>
  <si>
    <t>【追加アプリ用記入シート】チェックシートでお申し込みいただくアプリの記入をお願いいたします。</t>
    <phoneticPr fontId="3"/>
  </si>
  <si>
    <t>【追加アプリ用】チェックシート</t>
    <phoneticPr fontId="3"/>
  </si>
  <si>
    <t>お申し込みいただくアプリについてご記入ください。</t>
    <phoneticPr fontId="3"/>
  </si>
  <si>
    <t>シンクロライフ</t>
  </si>
  <si>
    <t>株式会社GINKAN</t>
  </si>
  <si>
    <t>Qナビ</t>
  </si>
  <si>
    <t>株式会社グローバー</t>
  </si>
  <si>
    <t>ブレイン株式会社</t>
    <rPh sb="4" eb="6">
      <t>カブシキ</t>
    </rPh>
    <rPh sb="6" eb="8">
      <t>カイシャ</t>
    </rPh>
    <phoneticPr fontId="5"/>
  </si>
  <si>
    <t>株式会社J&amp;J Tax Free</t>
    <rPh sb="0" eb="2">
      <t>カブシキ</t>
    </rPh>
    <rPh sb="2" eb="4">
      <t>カイシャ</t>
    </rPh>
    <phoneticPr fontId="5"/>
  </si>
  <si>
    <t>アプリ情報</t>
    <rPh sb="3" eb="5">
      <t>ジョウホウ</t>
    </rPh>
    <phoneticPr fontId="3"/>
  </si>
  <si>
    <t>申込</t>
    <rPh sb="0" eb="2">
      <t>モウシコミ</t>
    </rPh>
    <phoneticPr fontId="3"/>
  </si>
  <si>
    <t>月額 アプリ利用料</t>
    <phoneticPr fontId="3"/>
  </si>
  <si>
    <t>アプリ説明</t>
    <phoneticPr fontId="3"/>
  </si>
  <si>
    <t>食いしん坊たちが愛するグルメSNS「シンクロライフ」の店舗向けアプリです。
グルメSNS「シンクロライフ」での地域ユーザーへのPRから、常連顧客を自動で育成する全自動CRMにて手間なく既存顧客からの売上増が可能です。</t>
    <rPh sb="27" eb="29">
      <t>テンポ</t>
    </rPh>
    <rPh sb="29" eb="30">
      <t>ム</t>
    </rPh>
    <phoneticPr fontId="5"/>
  </si>
  <si>
    <t>店舗で急なトラブルが発生した時に、簡単に、早く、希望の修理業者と繋がることのできるアプリです。水回り、電気設備、厨房機器、カギ、ガラスなどあらゆる困りごとに対応します。</t>
    <rPh sb="0" eb="2">
      <t>テンポ</t>
    </rPh>
    <rPh sb="3" eb="4">
      <t>キュウ</t>
    </rPh>
    <rPh sb="10" eb="12">
      <t>ハッセイ</t>
    </rPh>
    <rPh sb="14" eb="15">
      <t>トキ</t>
    </rPh>
    <rPh sb="17" eb="19">
      <t>カンタン</t>
    </rPh>
    <rPh sb="21" eb="22">
      <t>ハヤ</t>
    </rPh>
    <rPh sb="24" eb="26">
      <t>キボウ</t>
    </rPh>
    <rPh sb="27" eb="29">
      <t>シュウリ</t>
    </rPh>
    <rPh sb="29" eb="31">
      <t>ギョウシャ</t>
    </rPh>
    <rPh sb="32" eb="33">
      <t>ツナ</t>
    </rPh>
    <phoneticPr fontId="5"/>
  </si>
  <si>
    <r>
      <t xml:space="preserve">無料
</t>
    </r>
    <r>
      <rPr>
        <sz val="11"/>
        <color theme="1"/>
        <rFont val="Meiryo UI"/>
        <family val="3"/>
        <charset val="128"/>
      </rPr>
      <t>※別途、サービス利用料有</t>
    </r>
    <phoneticPr fontId="3"/>
  </si>
  <si>
    <t>無料</t>
    <phoneticPr fontId="3"/>
  </si>
  <si>
    <t>←アプリ申込有無</t>
    <rPh sb="4" eb="6">
      <t>モウシコミ</t>
    </rPh>
    <rPh sb="6" eb="8">
      <t>ウム</t>
    </rPh>
    <phoneticPr fontId="3"/>
  </si>
  <si>
    <t>申込方法：</t>
    <phoneticPr fontId="3"/>
  </si>
  <si>
    <t>SmartCode</t>
    <phoneticPr fontId="3"/>
  </si>
  <si>
    <t>0：利用しない　2：利用する</t>
  </si>
  <si>
    <t>945001</t>
    <phoneticPr fontId="3"/>
  </si>
  <si>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</si>
  <si>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</si>
  <si>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</si>
  <si>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</si>
  <si>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</si>
  <si>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</si>
  <si>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</si>
  <si>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</si>
  <si>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</si>
  <si>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</si>
  <si>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</si>
  <si>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</si>
  <si>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</si>
  <si>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</si>
  <si>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</si>
  <si>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</si>
  <si>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</si>
  <si>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Pay取扱商品</t>
    <rPh sb="11" eb="15">
      <t>トリアツカイショウヒン</t>
    </rPh>
    <phoneticPr fontId="3"/>
  </si>
  <si>
    <t>業種カテゴリ</t>
    <rPh sb="0" eb="2">
      <t>ギョウシュ</t>
    </rPh>
    <phoneticPr fontId="3"/>
  </si>
  <si>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</si>
  <si>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</si>
  <si>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</si>
  <si>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</si>
  <si>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</si>
  <si>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</si>
  <si>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</si>
  <si>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</si>
  <si>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</si>
  <si>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</si>
  <si>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</si>
  <si>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</si>
  <si>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</si>
  <si>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</si>
  <si>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</si>
  <si>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1000:飲食店</t>
  </si>
  <si>
    <t>1001:日本料理</t>
  </si>
  <si>
    <t>1101:ディスカウントショップ</t>
  </si>
  <si>
    <t>1201:紳士用品</t>
  </si>
  <si>
    <t>1301:書籍・文具</t>
  </si>
  <si>
    <t>1401:家電</t>
  </si>
  <si>
    <t>1501:化粧品</t>
  </si>
  <si>
    <t>1601:家具</t>
  </si>
  <si>
    <t>1701:古物商</t>
  </si>
  <si>
    <t>1801:郷土品（土産品）</t>
  </si>
  <si>
    <t>1901:ビデオ</t>
  </si>
  <si>
    <t>2001:サウナ</t>
  </si>
  <si>
    <t>2101:調剤薬局</t>
  </si>
  <si>
    <t>2201:ガソリンスタンド</t>
  </si>
  <si>
    <t>2301:エアーライン</t>
  </si>
  <si>
    <t>2401:専門学校（学校）</t>
  </si>
  <si>
    <t>1100:ショッピング:総合</t>
  </si>
  <si>
    <t>1002:割烹</t>
  </si>
  <si>
    <t>1102:１００円ショップ</t>
  </si>
  <si>
    <t>1202:紳士服（テーラー）</t>
  </si>
  <si>
    <t>1302:書籍</t>
  </si>
  <si>
    <t>1402:照明</t>
  </si>
  <si>
    <t>1502:医薬品</t>
  </si>
  <si>
    <t>1602:カーペット</t>
  </si>
  <si>
    <t>1702:質屋</t>
  </si>
  <si>
    <t>1802:ギフトショップ</t>
  </si>
  <si>
    <t>1902:劇場</t>
  </si>
  <si>
    <t>2002:観光施設（温泉）</t>
  </si>
  <si>
    <t>2102:総合病院</t>
  </si>
  <si>
    <t>2202:レンタカー</t>
  </si>
  <si>
    <t>2302:カーフェリー</t>
  </si>
  <si>
    <t>2402:外国語学校</t>
  </si>
  <si>
    <t>1200:ショッピング:アパレル</t>
  </si>
  <si>
    <t>1003:料亭</t>
  </si>
  <si>
    <t>1103:香水</t>
  </si>
  <si>
    <t>1203:オーダーメイド</t>
  </si>
  <si>
    <t>1303:スポーツ用品</t>
  </si>
  <si>
    <t>1403:無線機</t>
  </si>
  <si>
    <t>1503:漢方薬</t>
  </si>
  <si>
    <t>1603:カーテン</t>
  </si>
  <si>
    <t>1703:酒屋</t>
  </si>
  <si>
    <t>1803:リサイクルショップ</t>
  </si>
  <si>
    <t>1903:映画館</t>
  </si>
  <si>
    <t>2003:理容</t>
  </si>
  <si>
    <t>2103:人間ドッグ</t>
  </si>
  <si>
    <t>2203:駐車場</t>
  </si>
  <si>
    <t>2303:遊覧船</t>
  </si>
  <si>
    <t>2403:カルチャースクール</t>
  </si>
  <si>
    <t>1300:ショッピング:趣味/娯楽</t>
  </si>
  <si>
    <t>1004:天ぷら</t>
  </si>
  <si>
    <t>1104:家庭雑貨</t>
  </si>
  <si>
    <t>1204:婦人用品</t>
  </si>
  <si>
    <t>1304:ゴルフ用品</t>
  </si>
  <si>
    <t>1404:電話機販売</t>
  </si>
  <si>
    <t>1504:メガネ</t>
  </si>
  <si>
    <t>1604:総合インテリア</t>
  </si>
  <si>
    <t>1704:米屋</t>
  </si>
  <si>
    <t>1804:硝子</t>
  </si>
  <si>
    <t>1904:カラオケ</t>
  </si>
  <si>
    <t>2004:美容室</t>
  </si>
  <si>
    <t>2104:単科病院</t>
  </si>
  <si>
    <t>2204:自動車修理</t>
  </si>
  <si>
    <t>2304:客船</t>
  </si>
  <si>
    <t>2404:ＯＡスクール</t>
  </si>
  <si>
    <t>1400:ショッピング:家電</t>
  </si>
  <si>
    <t>1005:うなぎ</t>
  </si>
  <si>
    <t>1105:食器</t>
  </si>
  <si>
    <t>1205:婦人服（ブティック）</t>
  </si>
  <si>
    <t>1305:テニス用品</t>
  </si>
  <si>
    <t>1405:カメラ</t>
  </si>
  <si>
    <t>1505:コンタクトレンズ</t>
  </si>
  <si>
    <t>1605:寝具</t>
  </si>
  <si>
    <t>1705:食品（食料品）</t>
  </si>
  <si>
    <t>1805:文具</t>
  </si>
  <si>
    <t>1905:遊園地</t>
  </si>
  <si>
    <t>2005:エステティック　サロン</t>
  </si>
  <si>
    <t>2105:東洋医療</t>
  </si>
  <si>
    <t>2205:車検サービス提携工場</t>
  </si>
  <si>
    <t>2305:鉄道</t>
  </si>
  <si>
    <t>2405:自動車教習所</t>
  </si>
  <si>
    <t>1500:ショッピング:医療関連</t>
  </si>
  <si>
    <t>1006:とんかつ・串かつ</t>
  </si>
  <si>
    <t>1106:金物</t>
  </si>
  <si>
    <t>1206:ランジェリー</t>
  </si>
  <si>
    <t>1306:スキー用品</t>
  </si>
  <si>
    <t>1406:ＯＡ機器</t>
  </si>
  <si>
    <t>1606:エクステリア</t>
  </si>
  <si>
    <t>1706:果物屋</t>
  </si>
  <si>
    <t>1806:事務用品</t>
  </si>
  <si>
    <t>1906:一般旅行業（第１種）</t>
  </si>
  <si>
    <t>2006:美容</t>
  </si>
  <si>
    <t>2106:歯科</t>
  </si>
  <si>
    <t>2206:ディーラー</t>
  </si>
  <si>
    <t>2306:貨物運送</t>
  </si>
  <si>
    <t>1600:ショッピング:ホーム/オフィス</t>
  </si>
  <si>
    <t>1007:日本料理（その他）</t>
  </si>
  <si>
    <t>1107:雑貨</t>
  </si>
  <si>
    <t>1207:子供用品</t>
  </si>
  <si>
    <t>1307:マリーンスポーツ用品</t>
  </si>
  <si>
    <t>1407:パソコン</t>
  </si>
  <si>
    <t>1607:石屋</t>
  </si>
  <si>
    <t>1707:茶</t>
  </si>
  <si>
    <t>1807:新聞購読料</t>
  </si>
  <si>
    <t>1907:国内旅行業（第２種）</t>
  </si>
  <si>
    <t>2007:マッサージ</t>
  </si>
  <si>
    <t>2107:針　灸</t>
  </si>
  <si>
    <t>2207:中古車</t>
  </si>
  <si>
    <t>2307:バス</t>
  </si>
  <si>
    <t>1700:ショッピング:専門</t>
  </si>
  <si>
    <t>1008:小料理</t>
  </si>
  <si>
    <t>1108:防犯グッズ</t>
  </si>
  <si>
    <t>1208:子供服</t>
  </si>
  <si>
    <t>1308:釣り具</t>
  </si>
  <si>
    <t>1408:コンピュータソフト販売</t>
  </si>
  <si>
    <t>1608:日曜大工</t>
  </si>
  <si>
    <t>1708:日本食料品店</t>
  </si>
  <si>
    <t>1808:美術品</t>
  </si>
  <si>
    <t>1908:旅行代理店業（第３種）</t>
  </si>
  <si>
    <t>2008:美容形成</t>
  </si>
  <si>
    <t>2108:整骨・接骨</t>
  </si>
  <si>
    <t>2208:カー用品</t>
  </si>
  <si>
    <t>2308:タクシー</t>
  </si>
  <si>
    <t>1800:ショッピング:その他</t>
  </si>
  <si>
    <t>1009:焼鳥</t>
  </si>
  <si>
    <t>1209:ベビー用品</t>
  </si>
  <si>
    <t>1309:トレーニング機器</t>
  </si>
  <si>
    <t>1609:ＤＩＹ</t>
  </si>
  <si>
    <t>1709:ハム</t>
  </si>
  <si>
    <t>1809:画廊（ギャラリー）</t>
  </si>
  <si>
    <t>1909:レンタルビデオ・ＣＤ</t>
  </si>
  <si>
    <t>2009:リラクゼーション</t>
  </si>
  <si>
    <t>2109:整体・カイロプラクティック</t>
  </si>
  <si>
    <t>2209:オートバイ</t>
  </si>
  <si>
    <t>2309:ハイヤー（リムジン）</t>
  </si>
  <si>
    <t>1900:サービス:趣味/娯楽</t>
  </si>
  <si>
    <t>1010:寿司</t>
  </si>
  <si>
    <t>1210:呉服</t>
  </si>
  <si>
    <t>1310:アウトドア用品</t>
  </si>
  <si>
    <t>1610:ペンキ</t>
  </si>
  <si>
    <t>1710:弁当屋</t>
  </si>
  <si>
    <t>1810:額ぶち</t>
  </si>
  <si>
    <t>1910:国民宿舎</t>
  </si>
  <si>
    <t>2010:保育施設</t>
  </si>
  <si>
    <t>2110:獣医</t>
  </si>
  <si>
    <t>2210:オートバイ用品</t>
  </si>
  <si>
    <t>2310:引越</t>
  </si>
  <si>
    <t>2000:サービス:専門</t>
  </si>
  <si>
    <t>1011:居酒屋</t>
  </si>
  <si>
    <t>1211:毛皮</t>
  </si>
  <si>
    <t>1311:麻雀荘</t>
  </si>
  <si>
    <t>1711:菓子・パン</t>
  </si>
  <si>
    <t>1811:民芸品</t>
  </si>
  <si>
    <t>1911:民宿</t>
  </si>
  <si>
    <t>2011:クリーニング</t>
  </si>
  <si>
    <t>2111:介護サービス</t>
  </si>
  <si>
    <t>2211:燃料店　　　　　　　　　　　　</t>
  </si>
  <si>
    <t>2311:宅配便</t>
  </si>
  <si>
    <t>2100:医療施設</t>
  </si>
  <si>
    <t>1012:フランス料理</t>
  </si>
  <si>
    <t>1212:革製品</t>
  </si>
  <si>
    <t>1312:ビリヤード</t>
  </si>
  <si>
    <t>1712:チョコレート</t>
  </si>
  <si>
    <t>1812:工芸品</t>
  </si>
  <si>
    <t>1912:ペンション</t>
  </si>
  <si>
    <t>2012:貸衣装</t>
  </si>
  <si>
    <t>2112:医療機器</t>
  </si>
  <si>
    <t>2312:高速道路</t>
  </si>
  <si>
    <t>2200:自動車/船舶</t>
  </si>
  <si>
    <t>1013:イタリー料理</t>
  </si>
  <si>
    <t>1213:カバン</t>
  </si>
  <si>
    <t>1313:囲碁・将棋</t>
  </si>
  <si>
    <t>1713:健康食品</t>
  </si>
  <si>
    <t>1813:園芸</t>
  </si>
  <si>
    <t>1913:カプセルホテル</t>
  </si>
  <si>
    <t>2013:レンタル</t>
  </si>
  <si>
    <t>2313:運転代行業</t>
  </si>
  <si>
    <t>2300:交通/流通</t>
  </si>
  <si>
    <t>1014:ラーメン</t>
  </si>
  <si>
    <t>1214:靴・履物</t>
  </si>
  <si>
    <t>1314:自転車</t>
  </si>
  <si>
    <t>1714:ミシン</t>
  </si>
  <si>
    <t>1814:花屋</t>
  </si>
  <si>
    <t>1914:ホテル</t>
  </si>
  <si>
    <t>2014:リース</t>
  </si>
  <si>
    <t>2400:教育関連</t>
  </si>
  <si>
    <t>1015:中国料理</t>
  </si>
  <si>
    <t>1215:帽子</t>
  </si>
  <si>
    <t>1315:玩具・ホビー</t>
  </si>
  <si>
    <t>1715:トロフィー</t>
  </si>
  <si>
    <t>1815:ドライフラワー</t>
  </si>
  <si>
    <t>1915:旅館</t>
  </si>
  <si>
    <t>2015:増改築</t>
  </si>
  <si>
    <t>1016:外国料理</t>
  </si>
  <si>
    <t>1216:傘</t>
  </si>
  <si>
    <t>1316:ファンシー　グッズ</t>
  </si>
  <si>
    <t>1716:ビジネスクーポン</t>
  </si>
  <si>
    <t>1816:動物美容</t>
  </si>
  <si>
    <t>1916:ビジネスホテル</t>
  </si>
  <si>
    <t>2016:住宅リフォーム</t>
  </si>
  <si>
    <t>1017:ドイツ料理</t>
  </si>
  <si>
    <t>1217:アクセサリー</t>
  </si>
  <si>
    <t>1317:ファミコン</t>
  </si>
  <si>
    <t>1717:印章</t>
  </si>
  <si>
    <t>1817:ペット用品</t>
  </si>
  <si>
    <t>1917:ファッションホテル</t>
  </si>
  <si>
    <t>2017:管工事業</t>
  </si>
  <si>
    <t>1018:ロシア料理</t>
  </si>
  <si>
    <t>1218:洋装雑貨</t>
  </si>
  <si>
    <t>1318:人形（ぬいぐるみ・人形）</t>
  </si>
  <si>
    <t>1718:刃物屋</t>
  </si>
  <si>
    <t>1818:ペットケア・ホテル</t>
  </si>
  <si>
    <t>1918:ゴルフ場（ショートコース）</t>
  </si>
  <si>
    <t>2018:印刷</t>
  </si>
  <si>
    <t>1019:韓国料理</t>
  </si>
  <si>
    <t>1219:総合衣料</t>
  </si>
  <si>
    <t>1319:楽器・音響</t>
  </si>
  <si>
    <t>1719:鉄砲</t>
  </si>
  <si>
    <t>1819:犬・猫</t>
  </si>
  <si>
    <t>1919:ゴルフ練習場</t>
  </si>
  <si>
    <t>2019:畳</t>
  </si>
  <si>
    <t>1020:インド料理</t>
  </si>
  <si>
    <t>1220:ジーンズ</t>
  </si>
  <si>
    <t>1320:レコード・ＣＤ</t>
  </si>
  <si>
    <t>1720:免税店</t>
  </si>
  <si>
    <t>1820:ペット</t>
  </si>
  <si>
    <t>1920:ゴルフ場</t>
  </si>
  <si>
    <t>2020:ガス器具</t>
  </si>
  <si>
    <t>1021:コンチネンタル料理</t>
  </si>
  <si>
    <t>1221:Ｔシャツ</t>
  </si>
  <si>
    <t>1321:楽器</t>
  </si>
  <si>
    <t>1721:外貨販売</t>
  </si>
  <si>
    <t>1821:熱帯魚</t>
  </si>
  <si>
    <t>1921:スケート場</t>
  </si>
  <si>
    <t>2021:ハウスクリーニング</t>
  </si>
  <si>
    <t>1022:スペイン料理</t>
  </si>
  <si>
    <t>1222:水着</t>
  </si>
  <si>
    <t>1322:ビデオテープ</t>
  </si>
  <si>
    <t>1722:結婚式場</t>
  </si>
  <si>
    <t>1822:仏具</t>
  </si>
  <si>
    <t>1922:アスレチック</t>
  </si>
  <si>
    <t>2022:写真現像</t>
  </si>
  <si>
    <t>1023:東南アジア料理</t>
  </si>
  <si>
    <t>1223:セーター・ニット</t>
  </si>
  <si>
    <t>1823:アンティーク</t>
  </si>
  <si>
    <t>1923:ボーリング場</t>
  </si>
  <si>
    <t>2023:フォトスタジオ</t>
  </si>
  <si>
    <t>1024:無国籍料理</t>
  </si>
  <si>
    <t>1224:古着</t>
  </si>
  <si>
    <t>1824:喫煙具</t>
  </si>
  <si>
    <t>1924:スキー場</t>
  </si>
  <si>
    <t>2024:電話利用（通話）</t>
  </si>
  <si>
    <t>1025:外国料理（その他）</t>
  </si>
  <si>
    <t>1225:和装小物</t>
  </si>
  <si>
    <t>1925:テニスクラブ</t>
  </si>
  <si>
    <t>2025:葬儀場</t>
  </si>
  <si>
    <t>1026:焼肉</t>
  </si>
  <si>
    <t>1226:空調機器</t>
  </si>
  <si>
    <t>1926:マリーンスポーツクラブ</t>
  </si>
  <si>
    <t>2026:貸会議室</t>
  </si>
  <si>
    <t>1027:ファミリーレストラン</t>
  </si>
  <si>
    <t>1227:ＡＶ機器</t>
  </si>
  <si>
    <t>1927:乗馬クラブ</t>
  </si>
  <si>
    <t>2027:ウィークリーマンション</t>
  </si>
  <si>
    <t>1028:ステーキ</t>
  </si>
  <si>
    <t>1228:輸入雑貨</t>
  </si>
  <si>
    <t>1928:総合スポーツ</t>
  </si>
  <si>
    <t>2028:トランクルーム</t>
  </si>
  <si>
    <t>1029:シーフード</t>
  </si>
  <si>
    <t>1229:貴金属</t>
  </si>
  <si>
    <t>2029:レンタルオフィス</t>
  </si>
  <si>
    <t>1030:レストラン</t>
  </si>
  <si>
    <t>1230:時計</t>
  </si>
  <si>
    <t>2030:住宅販売</t>
  </si>
  <si>
    <t>1031:ビアホール</t>
  </si>
  <si>
    <t>1231:宝石</t>
  </si>
  <si>
    <t>2031:不動産</t>
  </si>
  <si>
    <t>1032:カフェバー</t>
  </si>
  <si>
    <t>1232:手芸品（ハンドクラフト）</t>
  </si>
  <si>
    <t>2032:損害保険（代理店）</t>
  </si>
  <si>
    <t>1033:ダイニング・バー</t>
  </si>
  <si>
    <t>1233:かつら</t>
  </si>
  <si>
    <t>2033:損害保険</t>
  </si>
  <si>
    <t>1034:喫茶店・カフェ</t>
  </si>
  <si>
    <t>1234:育毛サロン</t>
  </si>
  <si>
    <t>2034:生命保険（保険）</t>
  </si>
  <si>
    <t>1035:パーラー</t>
  </si>
  <si>
    <t>2035:仕出し業</t>
  </si>
  <si>
    <t>1036:お好み焼き</t>
  </si>
  <si>
    <t>2036:法律相談所</t>
  </si>
  <si>
    <t>1037:ファーストフード</t>
  </si>
  <si>
    <t>2037:洗車業</t>
  </si>
  <si>
    <t>1038:バー</t>
  </si>
  <si>
    <t>2038:結婚相談所</t>
  </si>
  <si>
    <t>1039:クラブ</t>
  </si>
  <si>
    <t>2039:カウンセリング</t>
  </si>
  <si>
    <t>1040:スナック・パブ</t>
  </si>
  <si>
    <t>2040:ベビーシッター</t>
  </si>
  <si>
    <t>1041:ラウンジ</t>
  </si>
  <si>
    <t>2041:ロードサービス</t>
  </si>
  <si>
    <t>1042:キャバレー</t>
  </si>
  <si>
    <t>2042:レッカー</t>
  </si>
  <si>
    <t>1043:ライブハウス・ディスコ</t>
  </si>
  <si>
    <t>2043:プレイガイド</t>
  </si>
  <si>
    <t>1044:ＳＡ・ＰＡ</t>
  </si>
  <si>
    <t>2044:共済</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</si>
  <si>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</si>
  <si>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</si>
  <si>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</si>
  <si>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</si>
  <si>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</si>
  <si>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</si>
  <si>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</si>
  <si>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</si>
  <si>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←J-Coin Pay有無(記入シート2)</t>
    <rPh sb="11" eb="13">
      <t>ウム</t>
    </rPh>
    <rPh sb="14" eb="16">
      <t>キニュウ</t>
    </rPh>
    <phoneticPr fontId="3"/>
  </si>
  <si>
    <t>業種カテゴリ</t>
    <phoneticPr fontId="3"/>
  </si>
  <si>
    <t>取扱商品</t>
    <phoneticPr fontId="3"/>
  </si>
  <si>
    <t>マップ掲載</t>
    <phoneticPr fontId="3"/>
  </si>
  <si>
    <t>掲載する</t>
    <rPh sb="0" eb="2">
      <t>ケイサイ</t>
    </rPh>
    <phoneticPr fontId="3"/>
  </si>
  <si>
    <t>掲載しない</t>
    <rPh sb="0" eb="2">
      <t>ケイサイ</t>
    </rPh>
    <phoneticPr fontId="3"/>
  </si>
  <si>
    <t>←J-Coin判定</t>
    <rPh sb="7" eb="9">
      <t>ハンテイ</t>
    </rPh>
    <phoneticPr fontId="3"/>
  </si>
  <si>
    <t>商材区分(ブランド名英字)</t>
  </si>
  <si>
    <t>申込業種</t>
  </si>
  <si>
    <t>1:物品、2:サービス</t>
  </si>
  <si>
    <t>マップ掲載</t>
  </si>
  <si>
    <t>1:包括代理、2:業務代行、3:取次、4:直接契約</t>
  </si>
  <si>
    <t>Q87</t>
  </si>
  <si>
    <t>Q88</t>
  </si>
  <si>
    <t>Q89</t>
  </si>
  <si>
    <t>Q8A</t>
  </si>
  <si>
    <t>Q8B</t>
  </si>
  <si>
    <t>Q04</t>
  </si>
  <si>
    <t>端末コード(自動機利用有無)</t>
  </si>
  <si>
    <t>取扱商品</t>
    <rPh sb="0" eb="4">
      <t>トリアツカイショウヒン</t>
    </rPh>
    <phoneticPr fontId="3"/>
  </si>
  <si>
    <t xml:space="preserve"> ※非課税</t>
    <phoneticPr fontId="3"/>
  </si>
  <si>
    <t xml:space="preserve"> ※1回払いのみ。※非課税</t>
    <phoneticPr fontId="3"/>
  </si>
  <si>
    <t>初期費用</t>
    <phoneticPr fontId="3"/>
  </si>
  <si>
    <t>月額固定費</t>
    <phoneticPr fontId="3"/>
  </si>
  <si>
    <t>トランザクション費</t>
    <phoneticPr fontId="3"/>
  </si>
  <si>
    <t>事前調整番号：</t>
    <phoneticPr fontId="3"/>
  </si>
  <si>
    <t>事前調整番号</t>
  </si>
  <si>
    <t>URC</t>
  </si>
  <si>
    <t>申込端末合計台数</t>
  </si>
  <si>
    <t>TID採番区分</t>
  </si>
  <si>
    <t>1：物販、2：飲食、3：宿泊、4：旅行、5：その他</t>
  </si>
  <si>
    <t>センター識別</t>
  </si>
  <si>
    <t>1=自社センタ、2=その他</t>
    <phoneticPr fontId="3"/>
  </si>
  <si>
    <t>001660</t>
  </si>
  <si>
    <t>001661</t>
  </si>
  <si>
    <t>001662</t>
  </si>
  <si>
    <t>001663</t>
  </si>
  <si>
    <t>AEON（リアル）</t>
  </si>
  <si>
    <t>3</t>
  </si>
  <si>
    <t>決済機関：</t>
    <rPh sb="0" eb="4">
      <t>ケッサイキカン</t>
    </rPh>
    <phoneticPr fontId="3"/>
  </si>
  <si>
    <t>決済機関：</t>
    <phoneticPr fontId="3"/>
  </si>
  <si>
    <t>イオン</t>
    <phoneticPr fontId="3"/>
  </si>
  <si>
    <t>JCB</t>
    <phoneticPr fontId="3"/>
  </si>
  <si>
    <t>クレジットカード決済</t>
    <rPh sb="8" eb="10">
      <t>ケッサイ</t>
    </rPh>
    <phoneticPr fontId="4"/>
  </si>
  <si>
    <t>　クレジットカード決済をご利用しない場合、✓をご記入ください。</t>
    <rPh sb="9" eb="11">
      <t>ケッサイ</t>
    </rPh>
    <rPh sb="13" eb="15">
      <t>リヨウ</t>
    </rPh>
    <rPh sb="18" eb="20">
      <t>バアイ</t>
    </rPh>
    <rPh sb="24" eb="26">
      <t>キニュウ</t>
    </rPh>
    <phoneticPr fontId="3"/>
  </si>
  <si>
    <t>←クレジット＆電マネ申し込みあり</t>
    <rPh sb="7" eb="8">
      <t>デン</t>
    </rPh>
    <rPh sb="10" eb="11">
      <t>モウ</t>
    </rPh>
    <rPh sb="12" eb="13">
      <t>コ</t>
    </rPh>
    <phoneticPr fontId="3"/>
  </si>
  <si>
    <t>月額固定費（1台あたり）</t>
    <rPh sb="7" eb="8">
      <t>ダイ</t>
    </rPh>
    <phoneticPr fontId="3"/>
  </si>
  <si>
    <t>JCBｱｸﾜｲｱﾗﾌﾗｸﾞ</t>
  </si>
  <si>
    <t>AMEXｱｸﾜｲｱﾗﾌﾗｸﾞ</t>
  </si>
  <si>
    <t>DINERｱｸﾜｲｱﾗﾌﾗｸﾞ</t>
  </si>
  <si>
    <t>DISCOVERｱｸﾜｲｱﾗﾌﾗｸﾞ</t>
  </si>
  <si>
    <t>JCB（交通系）</t>
    <phoneticPr fontId="3"/>
  </si>
  <si>
    <t>申込方法</t>
    <phoneticPr fontId="3"/>
  </si>
  <si>
    <t>JCB（楽天Edy）</t>
    <phoneticPr fontId="3"/>
  </si>
  <si>
    <t>JCB（WAON）</t>
    <phoneticPr fontId="3"/>
  </si>
  <si>
    <t>JCB（nanaco)</t>
    <phoneticPr fontId="3"/>
  </si>
  <si>
    <t>nanaco上位端末ID頭9桁</t>
    <phoneticPr fontId="3"/>
  </si>
  <si>
    <t>11201</t>
    <phoneticPr fontId="3"/>
  </si>
  <si>
    <t>344</t>
    <phoneticPr fontId="3"/>
  </si>
  <si>
    <t>10607</t>
    <phoneticPr fontId="3"/>
  </si>
  <si>
    <t>UQ6</t>
  </si>
  <si>
    <t>UQ7</t>
  </si>
  <si>
    <t>UQX</t>
  </si>
  <si>
    <t>UQY</t>
  </si>
  <si>
    <t>10704</t>
    <phoneticPr fontId="3"/>
  </si>
  <si>
    <t>2Z7</t>
    <phoneticPr fontId="3"/>
  </si>
  <si>
    <t>10802</t>
    <phoneticPr fontId="3"/>
  </si>
  <si>
    <t>30B</t>
    <phoneticPr fontId="3"/>
  </si>
  <si>
    <t>11003</t>
    <phoneticPr fontId="3"/>
  </si>
  <si>
    <t>326</t>
    <phoneticPr fontId="3"/>
  </si>
  <si>
    <t>11102</t>
    <phoneticPr fontId="3"/>
  </si>
  <si>
    <t>334</t>
    <phoneticPr fontId="3"/>
  </si>
  <si>
    <t>335</t>
    <phoneticPr fontId="3"/>
  </si>
  <si>
    <t>交通系(西武鉄道)</t>
    <phoneticPr fontId="3"/>
  </si>
  <si>
    <t>10701</t>
  </si>
  <si>
    <t>10627</t>
    <phoneticPr fontId="3"/>
  </si>
  <si>
    <t>ブレインモバイルレジスター</t>
    <phoneticPr fontId="3"/>
  </si>
  <si>
    <t>J-TaxFreeシステム</t>
    <phoneticPr fontId="3"/>
  </si>
  <si>
    <t>飲食店6500店舗で稼働中のPOSレジです。
直感的でわかりやすいインターフェイスのためすぐに慣れます。自動集計される管理画面などオーナー様の欲しい機能をシンプルに実装しています。</t>
    <phoneticPr fontId="5"/>
  </si>
  <si>
    <t>消費税免税手続の電子化対応システムです。
消費税免税販売店において、訪日外国人旅行者向けの免税手続電子化に対応し、様々な「困った」を解消します！</t>
    <phoneticPr fontId="5"/>
  </si>
  <si>
    <t>6171:合同会社Glassy</t>
  </si>
  <si>
    <t>リアレジ</t>
    <phoneticPr fontId="3"/>
  </si>
  <si>
    <t>株式会社ビジコム</t>
    <phoneticPr fontId="3"/>
  </si>
  <si>
    <t>【初月無料・月額4,180円】「リアレジ」は、小売店・飲食店などに必要な販売や日報などの機能が使えるPOSアプリです。
現金決済だけでなく「PAX」のキャッシュレス決済を連携してご利用いただけます。</t>
    <phoneticPr fontId="3"/>
  </si>
  <si>
    <t>yoboca</t>
    <phoneticPr fontId="3"/>
  </si>
  <si>
    <t>株式会社ブレイブテクノロジー</t>
    <phoneticPr fontId="3"/>
  </si>
  <si>
    <t>別途お見積り</t>
    <phoneticPr fontId="3"/>
  </si>
  <si>
    <t>「yoboca｜ヨボカ」はLINE友だち獲得に優れた呼び出し通知システムです。
フードコート等で利用されている呼び出しベルとの大きな違いは、お客様のスマートフォンを利用する点です。また、LINE公式アカウントと合わせて利用するとyoboca利用者をLINE公式アカウントの友だちとして獲得することができます。</t>
    <phoneticPr fontId="3"/>
  </si>
  <si>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</si>
  <si>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</si>
  <si>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</si>
  <si>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</si>
  <si>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</si>
  <si>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</si>
  <si>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</si>
  <si>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その場合送信頂くアドレスが端末決済サービスエントリーシートとは異なります。</t>
    <rPh sb="2" eb="4">
      <t>バアイ</t>
    </rPh>
    <rPh sb="4" eb="6">
      <t>ソウシン</t>
    </rPh>
    <rPh sb="6" eb="7">
      <t>イタダ</t>
    </rPh>
    <rPh sb="31" eb="32">
      <t>コト</t>
    </rPh>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</si>
  <si>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</si>
  <si>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</si>
  <si>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</si>
  <si>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</si>
  <si>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</si>
  <si>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</si>
  <si>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</si>
  <si>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</si>
  <si>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</si>
  <si>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</si>
  <si>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</si>
  <si>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</si>
  <si>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</si>
  <si>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</si>
  <si>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</si>
  <si>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</si>
  <si>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</si>
  <si>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</si>
  <si>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</si>
  <si>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</si>
  <si>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</si>
  <si>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</si>
  <si>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</si>
  <si>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</si>
  <si>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</si>
  <si>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</si>
  <si>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</si>
  <si>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</si>
  <si>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</si>
  <si>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</si>
  <si>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</si>
  <si>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</si>
  <si>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</si>
  <si>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</si>
  <si>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</si>
  <si>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</si>
  <si>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</si>
  <si>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</si>
  <si>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</si>
  <si>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</si>
  <si>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</si>
  <si>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</si>
  <si>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</si>
  <si>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</si>
  <si>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</si>
  <si>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</si>
  <si>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</si>
  <si>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</si>
  <si>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</si>
  <si>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</si>
  <si>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</si>
  <si>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</si>
  <si>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</si>
  <si>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</si>
  <si>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</si>
  <si>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</si>
  <si>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←法人/個人</t>
    <rPh sb="1" eb="3">
      <t>ホウジン</t>
    </rPh>
    <rPh sb="4" eb="6">
      <t>コジン</t>
    </rPh>
    <phoneticPr fontId="3"/>
  </si>
  <si>
    <r>
      <rPr>
        <b/>
        <sz val="12"/>
        <rFont val="Meiryo UI"/>
        <family val="3"/>
        <charset val="128"/>
      </rPr>
      <t>【同意事項】</t>
    </r>
    <r>
      <rPr>
        <b/>
        <sz val="12"/>
        <color rgb="FF0000FF"/>
        <rFont val="Meiryo UI"/>
        <family val="3"/>
        <charset val="128"/>
      </rPr>
      <t xml:space="preserve">
</t>
    </r>
    <r>
      <rPr>
        <b/>
        <sz val="12"/>
        <rFont val="Meiryo UI"/>
        <family val="3"/>
        <charset val="128"/>
      </rPr>
      <t>　</t>
    </r>
    <r>
      <rPr>
        <sz val="12"/>
        <rFont val="Meiryo UI"/>
        <family val="3"/>
        <charset val="128"/>
      </rPr>
      <t>このたびは、SBペイメントサービス株式会社（以下、「SBPS」）が提供する「端末決済サービス」（以下、「本サービス」）にお申し込み希望をいただき、
  誠にありがとうございます。下記事項にご同意のうえ、お申し込みください。</t>
    </r>
    <r>
      <rPr>
        <sz val="11"/>
        <rFont val="Meiryo UI"/>
        <family val="3"/>
        <charset val="128"/>
      </rPr>
      <t xml:space="preserve">
　　・本サービスのご契約には、各規約・特約に基づくSBPSによる審査が必要となります。お申し込み内容により、ご契約いただけない場合がございます。
　　　（各規約・特約については右記サイト内より必要なものをダウンロードの上、ご確認ください。　https://www.sbpayment.jp/service/device/contract/　）
　　  また、本サービスご利用開始日について、上記審査や決済端末の出荷状況により、お日にちのご希望に沿えない場合がございますので、予めご了承ください。
　　・「端末決済サービス」は、屋号単位でのお申し込みとなります。複数屋号の使い分けをご希望される場合は、本書をご利用希望屋号分ご記入のうえお申し込みください。</t>
    </r>
    <rPh sb="84" eb="85">
      <t>マコト</t>
    </rPh>
    <rPh sb="135" eb="138">
      <t>カクキヤク</t>
    </rPh>
    <rPh sb="139" eb="141">
      <t>トクヤク</t>
    </rPh>
    <rPh sb="142" eb="143">
      <t>モト</t>
    </rPh>
    <rPh sb="299" eb="300">
      <t>ホン</t>
    </rPh>
    <rPh sb="315" eb="317">
      <t>ジョウキ</t>
    </rPh>
    <rPh sb="334" eb="335">
      <t>ヒ</t>
    </rPh>
    <rPh sb="357" eb="358">
      <t>アラカジ</t>
    </rPh>
    <rPh sb="360" eb="362">
      <t>リョウショウ</t>
    </rPh>
    <rPh sb="383" eb="385">
      <t>ヤゴウ</t>
    </rPh>
    <rPh sb="402" eb="404">
      <t>ヤゴウ</t>
    </rPh>
    <rPh sb="405" eb="406">
      <t>ツカ</t>
    </rPh>
    <rPh sb="407" eb="408">
      <t>ワ</t>
    </rPh>
    <rPh sb="428" eb="430">
      <t>ヤゴウ</t>
    </rPh>
    <phoneticPr fontId="4"/>
  </si>
  <si>
    <t>LBBCloud</t>
    <phoneticPr fontId="3"/>
  </si>
  <si>
    <t>株式会社LBB</t>
    <phoneticPr fontId="3"/>
  </si>
  <si>
    <t>QR Order</t>
    <phoneticPr fontId="3"/>
  </si>
  <si>
    <t>株式会社BlueIsland</t>
    <phoneticPr fontId="3"/>
  </si>
  <si>
    <t>飲食店のテーブル注文・テイクアウトからイベント・小売店まで、幅広い業種でご利用いただけるモバイルオーダーアプリです。</t>
    <phoneticPr fontId="3"/>
  </si>
  <si>
    <t>QR Orderは、専用タブレットも専用アプリのダウンロードも要らない、とことんシンプルなセルフオーダーサービスです。
※ご契約は1店舗＋1端末からとなります。</t>
    <phoneticPr fontId="3"/>
  </si>
  <si>
    <t>←申込有無　※追加時、要数式修正</t>
    <rPh sb="1" eb="3">
      <t>モウシコミ</t>
    </rPh>
    <rPh sb="3" eb="5">
      <t>ウム</t>
    </rPh>
    <rPh sb="7" eb="10">
      <t>ツイカジ</t>
    </rPh>
    <rPh sb="11" eb="12">
      <t>ヨウ</t>
    </rPh>
    <rPh sb="12" eb="14">
      <t>スウシキ</t>
    </rPh>
    <rPh sb="14" eb="16">
      <t>シュウセイ</t>
    </rPh>
    <phoneticPr fontId="3"/>
  </si>
  <si>
    <t>UNITEインボイス</t>
    <phoneticPr fontId="3"/>
  </si>
  <si>
    <t>株式会社ソリマチ技研</t>
    <phoneticPr fontId="3"/>
  </si>
  <si>
    <t>\500(税込)/月</t>
    <phoneticPr fontId="3"/>
  </si>
  <si>
    <t>簡単にインボイス対応の領収書を発行することができるアプリです。
領収書に印字する店舗情報を事前に登録。
発行時には必要項目を入力するだけで簡単に領収書が発行できます。</t>
    <phoneticPr fontId="3"/>
  </si>
  <si>
    <t>←VM手数料</t>
    <rPh sb="3" eb="6">
      <t>テスウリョウ</t>
    </rPh>
    <phoneticPr fontId="3"/>
  </si>
  <si>
    <t>SBPS使用欄</t>
    <phoneticPr fontId="3"/>
  </si>
  <si>
    <t>6035:ColossalTech株式会社</t>
  </si>
  <si>
    <t>6112:株式会社アセプト</t>
  </si>
  <si>
    <t>6196:ColossalTech株式会社</t>
  </si>
  <si>
    <t>6197:ColossalTech株式会社</t>
  </si>
  <si>
    <t>6216:ボストンクレジット株式会社</t>
  </si>
  <si>
    <t>KING OF TIME</t>
    <phoneticPr fontId="3"/>
  </si>
  <si>
    <t>株式会社ヒューマンテクノロジーズ</t>
    <phoneticPr fontId="3"/>
  </si>
  <si>
    <t xml:space="preserve"> 1人あたり \300/月</t>
    <phoneticPr fontId="3"/>
  </si>
  <si>
    <t>店舗で働く従業員が手軽に利用できるクラウド型勤怠管理システムです。 
手集計で苦労している勤怠管理がKING OF TIMEによって楽に管理できるようになります。決済端末を打刻機器として利用でき、打刻データはクラウドに保管され、リアルタイムで労働時間の集計ができます。</t>
    <phoneticPr fontId="3"/>
  </si>
  <si>
    <t>\5,000/月</t>
    <phoneticPr fontId="3"/>
  </si>
  <si>
    <t>\3,000/月</t>
    <phoneticPr fontId="3"/>
  </si>
  <si>
    <t>\3,800/月</t>
    <phoneticPr fontId="3"/>
  </si>
  <si>
    <r>
      <t xml:space="preserve">\8,000/月
</t>
    </r>
    <r>
      <rPr>
        <sz val="11"/>
        <color theme="1"/>
        <rFont val="Meiryo UI"/>
        <family val="3"/>
        <charset val="128"/>
      </rPr>
      <t>※1店舗あたり、台数制限なし</t>
    </r>
    <phoneticPr fontId="3"/>
  </si>
  <si>
    <t>1店舗あたり \9,800/月
＋1端末あたり \500/月</t>
    <phoneticPr fontId="3"/>
  </si>
  <si>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</si>
  <si>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</si>
  <si>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</si>
  <si>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6073:株式会社アップルヒル</t>
  </si>
  <si>
    <t>6231:リブオン・エンタープライズ株式会社</t>
  </si>
  <si>
    <t>平均役務期間</t>
    <phoneticPr fontId="3"/>
  </si>
  <si>
    <t>service4_reserve</t>
    <phoneticPr fontId="3"/>
  </si>
  <si>
    <t>nRegi-mini</t>
    <phoneticPr fontId="3"/>
  </si>
  <si>
    <t>エヌフィード株式会社</t>
    <phoneticPr fontId="3"/>
  </si>
  <si>
    <r>
      <t xml:space="preserve">サブスク \780/月
売り切り \9,800
</t>
    </r>
    <r>
      <rPr>
        <sz val="10"/>
        <color theme="1"/>
        <rFont val="Meiryo UI"/>
        <family val="3"/>
        <charset val="128"/>
      </rPr>
      <t>※その他 有料オプションあり</t>
    </r>
    <phoneticPr fontId="3"/>
  </si>
  <si>
    <t>かんたん、シンプルなレジアプリです。決済端末一台で、必要最低限のレジ機能が実現出来ます。
月額／買い切りプランやニーズに合わせた追加プランが選択可能です。</t>
    <phoneticPr fontId="3"/>
  </si>
  <si>
    <t>60203</t>
    <phoneticPr fontId="3"/>
  </si>
  <si>
    <t>6236:スマートテクノロジーズ＆リソーシーズ株式会社</t>
  </si>
  <si>
    <t>6237:株式会社フォースマーケティング</t>
  </si>
  <si>
    <t>6238:ソフトバンク株式会社（ST&amp;R用）</t>
  </si>
  <si>
    <t>6240:株式会社宮交シティ</t>
  </si>
  <si>
    <t>人間ドック</t>
  </si>
  <si>
    <t>人間ドックがメインの病院</t>
  </si>
  <si>
    <t>60203</t>
  </si>
  <si>
    <t>人間ドック</t>
    <phoneticPr fontId="3"/>
  </si>
  <si>
    <t>人間ドックがメインの病院</t>
    <phoneticPr fontId="3"/>
  </si>
  <si>
    <t>端末決済サービス(A920SB) エントリーシート</t>
  </si>
  <si>
    <t>Alipay+</t>
  </si>
  <si>
    <t>6254:株式会社システムフォワード</t>
  </si>
  <si>
    <t>6261:CBC株式会社</t>
  </si>
  <si>
    <t>6262:株式会社AgentStar</t>
  </si>
  <si>
    <t>QUICPay</t>
    <phoneticPr fontId="3"/>
  </si>
  <si>
    <t>WAON</t>
    <phoneticPr fontId="3"/>
  </si>
  <si>
    <t>決済機関：</t>
    <phoneticPr fontId="3"/>
  </si>
  <si>
    <t>JCB</t>
    <phoneticPr fontId="3"/>
  </si>
  <si>
    <t>申込方法：</t>
    <phoneticPr fontId="3"/>
  </si>
  <si>
    <t>UC</t>
  </si>
  <si>
    <t>業種</t>
    <rPh sb="0" eb="2">
      <t>ギョウシュ</t>
    </rPh>
    <phoneticPr fontId="3"/>
  </si>
  <si>
    <t>一般</t>
  </si>
  <si>
    <t>94501</t>
  </si>
  <si>
    <t>Q91</t>
  </si>
  <si>
    <t>Q93</t>
  </si>
  <si>
    <t>Q94</t>
  </si>
  <si>
    <t>UC（iD）</t>
    <phoneticPr fontId="3"/>
  </si>
  <si>
    <t>iD業種</t>
    <phoneticPr fontId="3"/>
  </si>
  <si>
    <t>申込方法</t>
    <phoneticPr fontId="3"/>
  </si>
  <si>
    <t>店舗オープン日</t>
    <phoneticPr fontId="3"/>
  </si>
  <si>
    <t>10903</t>
    <phoneticPr fontId="3"/>
  </si>
  <si>
    <t>314</t>
    <phoneticPr fontId="3"/>
  </si>
  <si>
    <t>316</t>
    <phoneticPr fontId="3"/>
  </si>
  <si>
    <t>317</t>
    <phoneticPr fontId="3"/>
  </si>
  <si>
    <t>SmartDetax</t>
    <phoneticPr fontId="3"/>
  </si>
  <si>
    <t>スマートテクノロジーズ&amp;リソーシーズ株式会社</t>
    <phoneticPr fontId="3"/>
  </si>
  <si>
    <t>Emusen easy</t>
    <phoneticPr fontId="3"/>
  </si>
  <si>
    <t>イーソル株式会社</t>
    <phoneticPr fontId="3"/>
  </si>
  <si>
    <t>別途お見積もり</t>
    <phoneticPr fontId="3"/>
  </si>
  <si>
    <t>\3,800/月</t>
    <phoneticPr fontId="3"/>
  </si>
  <si>
    <t>免税システム国内シェアNo.1【スマートデタックス 】は、独自のAI技術により決済端末のカメラでパスポートを正確＆瞬時に読み取り、免税販売データを電子的に生成、国税庁サーバーへ即時送信します。あらゆる免税店はスマートデタックスの利用により免税法令に完全対応することが可能です。</t>
    <phoneticPr fontId="3"/>
  </si>
  <si>
    <t>端末1台で完結するモバイルPOSレジアプリです。売上、精算レシート等の発行や、Bluetooth外付けスキャナとの接続も可能で、商品バーコードの読み取りもできます。FTP通信でパソコンの販売管理システムとの商品マスタ・売上データの連携も可能です。</t>
    <phoneticPr fontId="3"/>
  </si>
  <si>
    <t>接続方式:</t>
    <phoneticPr fontId="3"/>
  </si>
  <si>
    <t>直接接続</t>
  </si>
  <si>
    <t>新Alipay+(APS)</t>
  </si>
  <si>
    <t>Alipay+(APS)</t>
  </si>
  <si>
    <t>949001</t>
  </si>
  <si>
    <t>94901</t>
  </si>
  <si>
    <t>QD2</t>
  </si>
  <si>
    <t>QD3</t>
  </si>
  <si>
    <t>QD4</t>
  </si>
  <si>
    <t>QD5</t>
  </si>
  <si>
    <t>QD6</t>
  </si>
  <si>
    <t>QD7</t>
  </si>
  <si>
    <t>QD8</t>
  </si>
  <si>
    <t>QD9</t>
  </si>
  <si>
    <t>1630691</t>
  </si>
  <si>
    <t>愛甲脩人</t>
  </si>
  <si>
    <t>6282:株式会社チューリップテレビ</t>
  </si>
  <si>
    <t>6283:扶桑電通株式会社</t>
  </si>
  <si>
    <t>6284:扶桑電通株式会社</t>
  </si>
  <si>
    <t>6286:九州朝日放送株式会社</t>
  </si>
  <si>
    <t>¥4,000/月</t>
    <phoneticPr fontId="3"/>
  </si>
  <si>
    <t>高機能AndroidクラウドPOSレジアプリです。
マルチチャネルPOSシステムであらゆる運営方法に対応可能です。</t>
    <phoneticPr fontId="3"/>
  </si>
  <si>
    <t>飲食店向けに特化したコンパクトなPOSレジアプリです。決済端末一体型なのでこの一台で様々な会計にスムーズに対応いただけます。さらに、スタッフのログインや権限管理機能もあるため、安心してご利用いただけます。</t>
    <phoneticPr fontId="3"/>
  </si>
  <si>
    <t>CASHIER POS</t>
    <phoneticPr fontId="3"/>
  </si>
  <si>
    <t>株式会社ユニエイム</t>
    <phoneticPr fontId="3"/>
  </si>
  <si>
    <t>Okageハンディ</t>
    <phoneticPr fontId="3"/>
  </si>
  <si>
    <t>Okage株式会社</t>
    <phoneticPr fontId="3"/>
  </si>
  <si>
    <r>
      <t xml:space="preserve">¥5,000/月
</t>
    </r>
    <r>
      <rPr>
        <u/>
        <sz val="11"/>
        <color theme="1"/>
        <rFont val="Meiryo UI"/>
        <family val="3"/>
        <charset val="128"/>
      </rPr>
      <t xml:space="preserve">※1店舗あたり5台までの利用
</t>
    </r>
    <r>
      <rPr>
        <u/>
        <sz val="10"/>
        <color theme="1"/>
        <rFont val="Meiryo UI"/>
        <family val="3"/>
        <charset val="128"/>
      </rPr>
      <t>以降は1台追加ごとに追加¥1,000</t>
    </r>
    <phoneticPr fontId="3"/>
  </si>
  <si>
    <t>1647671</t>
  </si>
  <si>
    <t>大久保 翔太</t>
  </si>
  <si>
    <t>6300:朝日放送テレビ株式会社</t>
  </si>
  <si>
    <t>6302:山口朝日放送株式会社</t>
  </si>
  <si>
    <t>6303:株式会社熊本県民テレビ</t>
  </si>
  <si>
    <t>決済サービス利用料</t>
    <phoneticPr fontId="3"/>
  </si>
  <si>
    <t>←SMB適用有無</t>
  </si>
  <si>
    <t>6312:日本レジャーホテルサービス株式会社</t>
  </si>
  <si>
    <t>6320:札幌テレビ放送株式会社</t>
  </si>
  <si>
    <t>6321:青森朝日放送株式会社</t>
  </si>
  <si>
    <t>6322:株式会社広島ホームテレビ</t>
  </si>
  <si>
    <t>6012:GLOBAL CONNECTIONS株式会社</t>
    <rPh sb="23" eb="25">
      <t>カブシキ</t>
    </rPh>
    <rPh sb="25" eb="27">
      <t>カイシャ</t>
    </rPh>
    <phoneticPr fontId="3"/>
  </si>
  <si>
    <t>VM</t>
    <phoneticPr fontId="3"/>
  </si>
  <si>
    <t>6336:株式会社ダリア</t>
  </si>
  <si>
    <t xml:space="preserve">承認のうえ申し込みいたします。 </t>
    <phoneticPr fontId="3"/>
  </si>
  <si>
    <t>クレジットカード加盟店規約&lt;対面取引用&gt;（関連規約を含む、以下「加盟店規約」）およびSBPSかんたんレジ規約の内容を確認し、</t>
    <phoneticPr fontId="3"/>
  </si>
  <si>
    <t>SBPSかんたんレジ</t>
    <phoneticPr fontId="3"/>
  </si>
  <si>
    <t>SBPSかんたんレジは端末にて当該アプリの利用開始処理を実施すると課金が開始されます。</t>
    <phoneticPr fontId="3"/>
  </si>
  <si>
    <t>楽天</t>
  </si>
  <si>
    <t>6323:刀フォース合同会社</t>
  </si>
  <si>
    <t>6324:株式会社MJ</t>
  </si>
  <si>
    <t>6325:株式会社岩手朝日テレビ</t>
  </si>
  <si>
    <t>6337:北陸放送株式会社</t>
  </si>
  <si>
    <t>6338:株式会社テレビ金沢</t>
  </si>
  <si>
    <t>6385:株式会社LINKS</t>
  </si>
  <si>
    <t>6386:株式会社LINKS</t>
  </si>
  <si>
    <t>6388:株式会社スカイファスナー</t>
  </si>
  <si>
    <t>6389:株式会社エスキュービズム</t>
  </si>
  <si>
    <t>6390:株式会社ハロー</t>
  </si>
  <si>
    <t>6391:株式会社ハロー</t>
  </si>
  <si>
    <t>A920MAX</t>
  </si>
  <si>
    <t>PayPay自治体キャンペーンシート</t>
    <phoneticPr fontId="3"/>
  </si>
  <si>
    <t>■自治体等（各自治体及び商店街組合・商工会議所等をいい、以下同じ）主催のキャンペーンへの参加同意について</t>
    <phoneticPr fontId="3"/>
  </si>
  <si>
    <r>
      <rPr>
        <b/>
        <sz val="11"/>
        <color rgb="FFFF0000"/>
        <rFont val="Meiryo UI"/>
        <family val="3"/>
        <charset val="128"/>
      </rPr>
      <t>「自治体等への加盟店情報連携の同意」にチェックをした場合</t>
    </r>
    <r>
      <rPr>
        <sz val="11"/>
        <color theme="1"/>
        <rFont val="Meiryo UI"/>
        <family val="3"/>
        <charset val="128"/>
      </rPr>
      <t>、自治体等が主催するキャンペーンについて、</t>
    </r>
    <phoneticPr fontId="3"/>
  </si>
  <si>
    <t>主催者から対象加盟店に選定された際、当該キャンペーンに自動的に参加することになります。</t>
    <phoneticPr fontId="3"/>
  </si>
  <si>
    <t>ただし、一部対象外業種については、主催者から選定されても対象外となる場合もあります。</t>
    <phoneticPr fontId="3"/>
  </si>
  <si>
    <t>※自治体等主催のキャンペーンの例</t>
    <phoneticPr fontId="3"/>
  </si>
  <si>
    <t>また、キャンペーン参加にあたって、自治体等への加盟店情報連携に同意いただく必要があります。</t>
    <phoneticPr fontId="3"/>
  </si>
  <si>
    <t>・ 情報連携する「加盟店情報」の内容は、PayPay株式会社のWebページ</t>
    <phoneticPr fontId="3"/>
  </si>
  <si>
    <t>https://paypay.ne.jp/store/introduction/jichitai-cp/</t>
    <phoneticPr fontId="3"/>
  </si>
  <si>
    <t>で掲載されている情報となり、店舗住所、店舗電話番号、法人番号（法人の場合）、</t>
    <phoneticPr fontId="3"/>
  </si>
  <si>
    <t>加盟店審査時に付与した業種情報等となりますが、詳細は上記Webページをご確認ください。</t>
    <phoneticPr fontId="3"/>
  </si>
  <si>
    <t>・情報連携する目的は、 PayPay株式会社のWebページ</t>
    <phoneticPr fontId="3"/>
  </si>
  <si>
    <t>で掲載されている目的となり、自治体等によるキャンペーン対象店舗の選定、自治体等による加盟店への問い合わせ等のための情報管理、</t>
    <phoneticPr fontId="3"/>
  </si>
  <si>
    <t>自治体等のホームページ等への加盟店情報の掲示、販売促進ツール等の配送となります。</t>
    <phoneticPr fontId="3"/>
  </si>
  <si>
    <t>・情報連携先は、 PayPay株式会社のWebページ</t>
    <phoneticPr fontId="3"/>
  </si>
  <si>
    <t>で掲載されている者となり、キャンペーンを実施する自治体等、キャンペーンの実施にあたって自治体等が指定した外部組織</t>
    <phoneticPr fontId="3"/>
  </si>
  <si>
    <t>（商工会・広告代理店・イベント企画会社等）となります。</t>
    <phoneticPr fontId="3"/>
  </si>
  <si>
    <t>その他の詳細はPayPay株式会社のWebページ</t>
    <phoneticPr fontId="3"/>
  </si>
  <si>
    <t>をご確認ください。</t>
    <phoneticPr fontId="3"/>
  </si>
  <si>
    <t>■PayPay商品券を活用した事業への参加同意</t>
    <phoneticPr fontId="3"/>
  </si>
  <si>
    <r>
      <rPr>
        <b/>
        <sz val="11"/>
        <color rgb="FFFF0000"/>
        <rFont val="Meiryo UI"/>
        <family val="3"/>
        <charset val="128"/>
      </rPr>
      <t>「PayPay商品券利用情報提供に関する同意」にチェックした場合</t>
    </r>
    <r>
      <rPr>
        <sz val="11"/>
        <color theme="1"/>
        <rFont val="Meiryo UI"/>
        <family val="3"/>
        <charset val="128"/>
      </rPr>
      <t>、 PayPay商品券を活用した事業について、</t>
    </r>
    <phoneticPr fontId="3"/>
  </si>
  <si>
    <t>今後主催者から対象加盟店に選定された際、当該事業に自動的に参加することになります。</t>
    <phoneticPr fontId="3"/>
  </si>
  <si>
    <t>・自治体等が主催するPayPay商品券を活用した事業の例</t>
    <phoneticPr fontId="3"/>
  </si>
  <si>
    <t>https://paypay.ne.jp/help/c0443/</t>
    <phoneticPr fontId="3"/>
  </si>
  <si>
    <t>・ふるさと納税ポータルサイト運営会社が自治体と提携し発行するPayPay商品</t>
    <phoneticPr fontId="3"/>
  </si>
  <si>
    <t>https://paypay.ne.jp/store/introduction/jichitai-gift-vouchers/</t>
    <phoneticPr fontId="3"/>
  </si>
  <si>
    <t>で掲載されている情報となり、屋号/店舗名、店舗住所、店舗電話番号、法人番号（法人の場合）、</t>
    <phoneticPr fontId="3"/>
  </si>
  <si>
    <t>加盟店審査時に付与した業種情報、PayPay商品券の利用に関する情報、PayPayの売上金の振込に関する情報、</t>
    <phoneticPr fontId="3"/>
  </si>
  <si>
    <t>加盟店契約および取引に関する情報等となりますが、詳細は上記Webページをご確認ください。</t>
    <phoneticPr fontId="3"/>
  </si>
  <si>
    <t>で掲載されている目的となり、 PayPay商品券利用可能店舗の選定、自治体等による加盟店への問い合わせ等のための情報管理、</t>
    <phoneticPr fontId="3"/>
  </si>
  <si>
    <t>自治体等、またはふるさと納税ポータルサイト運営会社のホームページ等への加盟店情報の掲示、販売促進ツール等の配送、</t>
    <phoneticPr fontId="3"/>
  </si>
  <si>
    <t>自治体等または外部組織が本事業への補助を受けるための施策評価および実績報告のため、自治体等による施策効果の把握</t>
    <phoneticPr fontId="3"/>
  </si>
  <si>
    <t>及び今後の行政施策の改善検討のため、自治体等または外部組織から各加盟店様への決済手数料還元のため</t>
    <phoneticPr fontId="3"/>
  </si>
  <si>
    <t>（決済手数料還元が行われない事業もございます。）となりますが、詳細は上記Webページをご確認ください。</t>
    <phoneticPr fontId="3"/>
  </si>
  <si>
    <t>で掲載されている者となり、事業主催者となる自治体、商店街組合・商工会議所等、事業実施にあたって自治体等が指定した外部組織</t>
    <phoneticPr fontId="3"/>
  </si>
  <si>
    <t>（商工会・広告代理店・イベント企画会社等）、ふるさと納税ポータルサイト運営会社（ふるさと納税ポータルサイト運営会社から、</t>
    <phoneticPr fontId="3"/>
  </si>
  <si>
    <t>PayPay商品券を発行する自治体等に対して情報が提供されます。）となりますが、詳細は上記Webページをご確認ください。</t>
    <phoneticPr fontId="3"/>
  </si>
  <si>
    <t>※各事業については、各自治体等の案内ページまたはふるさと納税ポータルサイトをご確認ください。</t>
    <phoneticPr fontId="3"/>
  </si>
  <si>
    <t>規約同意</t>
    <rPh sb="0" eb="4">
      <t>キヤクドウイ</t>
    </rPh>
    <phoneticPr fontId="4"/>
  </si>
  <si>
    <t>ID登録機能利用特約の内容を確認し、承認のうえ申し込みいたします。</t>
    <rPh sb="2" eb="6">
      <t>トウロクキノウ</t>
    </rPh>
    <rPh sb="6" eb="10">
      <t>リヨウトクヤク</t>
    </rPh>
    <rPh sb="11" eb="13">
      <t>ナイヨウ</t>
    </rPh>
    <rPh sb="14" eb="16">
      <t>カクニン</t>
    </rPh>
    <rPh sb="18" eb="20">
      <t>ショウニン</t>
    </rPh>
    <rPh sb="23" eb="24">
      <t>モウ</t>
    </rPh>
    <rPh sb="25" eb="26">
      <t>コ</t>
    </rPh>
    <phoneticPr fontId="3"/>
  </si>
  <si>
    <t>オンライン決済サービスで利用しているマーチャントIDとサービスIDを入力ください。</t>
    <rPh sb="5" eb="7">
      <t>ケッサイ</t>
    </rPh>
    <rPh sb="12" eb="14">
      <t>リヨウ</t>
    </rPh>
    <rPh sb="34" eb="36">
      <t>ニュウリョク</t>
    </rPh>
    <phoneticPr fontId="3"/>
  </si>
  <si>
    <t>マーチャントID:</t>
    <phoneticPr fontId="3"/>
  </si>
  <si>
    <t>サービスID:</t>
    <phoneticPr fontId="3"/>
  </si>
  <si>
    <t xml:space="preserve"> 会員登録機能</t>
    <phoneticPr fontId="3"/>
  </si>
  <si>
    <t>登録先MID（オンラインクレジット）</t>
    <phoneticPr fontId="3"/>
  </si>
  <si>
    <t>登録先SID（オンラインクレジット）</t>
    <phoneticPr fontId="3"/>
  </si>
  <si>
    <t>001681</t>
  </si>
  <si>
    <t>001682</t>
    <phoneticPr fontId="3"/>
  </si>
  <si>
    <t>001683</t>
    <phoneticPr fontId="3"/>
  </si>
  <si>
    <t>■PayPayキャンペーン同意</t>
    <rPh sb="13" eb="15">
      <t>ドウイ</t>
    </rPh>
    <phoneticPr fontId="3"/>
  </si>
  <si>
    <t>　　　　自治体等への加盟店情報連携の同意：</t>
    <phoneticPr fontId="3"/>
  </si>
  <si>
    <t>　　　　自治体等への加盟店情報連携に同意し、自治体主催のキャンペーンに参加することに同意します。</t>
    <phoneticPr fontId="3"/>
  </si>
  <si>
    <t>　　　　PayPay商品券利用情報提供に関する同意：</t>
    <phoneticPr fontId="3"/>
  </si>
  <si>
    <t>　　　　自治体等およびふるさと納税ポータルサイト運営会社へのPayPay商品券利用情報提供に同意し、PayPay商品券を活用した事業に参加することに同意します。</t>
    <phoneticPr fontId="3"/>
  </si>
  <si>
    <t>　※「自治体等」、「加盟店情報」、「PayPay商品券利用情報」の定義・内容、利用する情報の利用目的、情報連携先、チェックいただいた場合に自動参加となるキャンペーン等、</t>
    <phoneticPr fontId="3"/>
  </si>
  <si>
    <t>　　その他の詳細は「【PayPay用】自治体キャンペーンシート」をご確認ください。</t>
    <rPh sb="17" eb="18">
      <t>ヨウ</t>
    </rPh>
    <phoneticPr fontId="3"/>
  </si>
  <si>
    <r>
      <t>　※</t>
    </r>
    <r>
      <rPr>
        <u/>
        <sz val="12"/>
        <rFont val="Meiryo UI"/>
        <family val="3"/>
        <charset val="128"/>
      </rPr>
      <t>同意いただけない場合</t>
    </r>
    <r>
      <rPr>
        <sz val="12"/>
        <rFont val="Meiryo UI"/>
        <family val="3"/>
        <charset val="128"/>
      </rPr>
      <t>、</t>
    </r>
    <r>
      <rPr>
        <b/>
        <sz val="12"/>
        <color rgb="FFFF0000"/>
        <rFont val="Meiryo UI"/>
        <family val="3"/>
        <charset val="128"/>
      </rPr>
      <t>自治体等主催のキャンペーンの対象となりません。</t>
    </r>
    <phoneticPr fontId="3"/>
  </si>
  <si>
    <t>下部の「PayPayキャンペーン同意」をご確認ください</t>
    <phoneticPr fontId="3"/>
  </si>
  <si>
    <t>自治体キャンペーン同意有無</t>
  </si>
  <si>
    <t>PayPay商品券同意有無</t>
  </si>
  <si>
    <t>Q0T</t>
  </si>
  <si>
    <t>Q0U</t>
  </si>
  <si>
    <t>Ver 3.51</t>
    <phoneticPr fontId="3"/>
  </si>
  <si>
    <t>https://paypay.ne.jp/event/support-local/</t>
    <phoneticPr fontId="3"/>
  </si>
  <si>
    <t>https://paypay.ne.jp/guide/gift-vouchers/</t>
    <phoneticPr fontId="3"/>
  </si>
  <si>
    <t>1629244</t>
    <phoneticPr fontId="3"/>
  </si>
  <si>
    <t>3911KG-79599</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</si>
</sst>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6" formatCode="&quot;¥&quot;#,##0;[Red]&quot;¥&quot;\-#,##0"/>
    <numFmt numFmtId="176" formatCode="yyyy&quot;年&quot;m&quot;月&quot;d&quot;日&quot;;@"/>
    <numFmt numFmtId="177" formatCode="#,##0_ ;[Red]\-#,##0\ "/>
    <numFmt numFmtId="178" formatCode="#,##0_);[Red]\(#,##0\)"/>
    <numFmt numFmtId="179" formatCode="&quot;¥&quot;#,##0&quot;/台&quot;"/>
    <numFmt numFmtId="180" formatCode="General\ &quot;台&quot;"/>
    <numFmt numFmtId="181" formatCode="&quot;¥&quot;#,##0&quot;/箱&quot;"/>
    <numFmt numFmtId="182" formatCode="General\ &quot;箱&quot;"/>
    <numFmt numFmtId="183" formatCode="0_);[Red]\(0\)"/>
    <numFmt numFmtId="184" formatCode="&quot;¥&quot;#,##0_);[Red]\(&quot;¥&quot;#,##0\)"/>
    <numFmt numFmtId="185" formatCode="&quot;¥&quot;#,##0.0;[Red]&quot;¥&quot;\-#,##0.0"/>
    <numFmt numFmtId="186" formatCode="&quot;¥&quot;#,##0&quot;/個&quot;"/>
    <numFmt numFmtId="187" formatCode="&quot;¥&quot;#,##0&quot;/本&quot;"/>
    <numFmt numFmtId="188" formatCode="0_ "/>
  </numFmts>
  <fonts count="153">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0"/>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9"/>
      <color indexed="81"/>
      <name val="ＭＳ Ｐゴシック"/>
      <family val="3"/>
      <charset val="128"/>
    </font>
    <font>
      <sz val="9"/>
      <name val="ＭＳ Ｐゴシック"/>
      <family val="3"/>
      <charset val="128"/>
      <scheme val="minor"/>
    </font>
    <font>
      <sz val="9"/>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1"/>
      <name val="ＭＳ Ｐゴシック"/>
      <family val="3"/>
      <charset val="128"/>
      <scheme val="minor"/>
    </font>
    <font>
      <sz val="10"/>
      <name val="ＭＳ Ｐゴシック"/>
      <family val="3"/>
      <charset val="128"/>
      <scheme val="major"/>
    </font>
    <font>
      <sz val="10"/>
      <color theme="1"/>
      <name val="ＭＳ Ｐゴシック"/>
      <family val="3"/>
      <charset val="128"/>
      <scheme val="major"/>
    </font>
    <font>
      <sz val="10"/>
      <name val="ＭＳ Ｐゴシック"/>
      <family val="3"/>
      <charset val="128"/>
    </font>
    <font>
      <sz val="10"/>
      <color rgb="FFFF0000"/>
      <name val="ＭＳ Ｐゴシック"/>
      <family val="3"/>
      <charset val="128"/>
      <scheme val="major"/>
    </font>
    <font>
      <u/>
      <sz val="11"/>
      <color indexed="12"/>
      <name val="ＭＳ Ｐゴシック"/>
      <family val="3"/>
      <charset val="128"/>
    </font>
    <font>
      <b/>
      <sz val="11"/>
      <color indexed="81"/>
      <name val="ＭＳ Ｐゴシック"/>
      <family val="3"/>
      <charset val="128"/>
    </font>
    <font>
      <sz val="10"/>
      <color rgb="FFFF0000"/>
      <name val="ＭＳ Ｐゴシック"/>
      <family val="3"/>
      <charset val="128"/>
    </font>
    <font>
      <sz val="10"/>
      <color rgb="FFC00000"/>
      <name val="ＭＳ Ｐゴシック"/>
      <family val="3"/>
      <charset val="128"/>
    </font>
    <font>
      <sz val="10"/>
      <color rgb="FF000000"/>
      <name val="ＭＳ Ｐゴシック"/>
      <family val="3"/>
      <charset val="128"/>
      <scheme val="major"/>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18"/>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0"/>
      <color rgb="FFFF6600"/>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b/>
      <sz val="9"/>
      <color indexed="81"/>
      <name val="ＭＳ Ｐゴシック"/>
      <family val="3"/>
      <charset val="128"/>
    </font>
    <font>
      <sz val="9"/>
      <color theme="1"/>
      <name val="Meiryo UI"/>
      <family val="3"/>
      <charset val="128"/>
    </font>
    <font>
      <sz val="10"/>
      <color theme="1"/>
      <name val="Meiryo UI"/>
      <family val="3"/>
      <charset val="128"/>
    </font>
    <font>
      <b/>
      <sz val="14"/>
      <color rgb="FFFF0000"/>
      <name val="Meiryo UI"/>
      <family val="3"/>
      <charset val="128"/>
    </font>
    <font>
      <sz val="10"/>
      <color theme="1"/>
      <name val="ＭＳ Ｐゴシック"/>
      <family val="3"/>
      <charset val="128"/>
      <scheme val="minor"/>
    </font>
    <font>
      <sz val="10"/>
      <color rgb="FF0000FF"/>
      <name val="ＭＳ Ｐゴシック"/>
      <family val="3"/>
      <charset val="128"/>
      <scheme val="major"/>
    </font>
    <font>
      <sz val="12"/>
      <color rgb="FF3333FF"/>
      <name val="Meiryo UI"/>
      <family val="3"/>
      <charset val="128"/>
    </font>
    <font>
      <sz val="8"/>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1"/>
      <color rgb="FFFF6600"/>
      <name val="Meiryo UI"/>
      <family val="3"/>
      <charset val="128"/>
    </font>
    <font>
      <b/>
      <sz val="11"/>
      <color rgb="FF0000FF"/>
      <name val="Meiryo UI"/>
      <family val="3"/>
      <charset val="128"/>
    </font>
    <font>
      <b/>
      <sz val="12"/>
      <color rgb="FF0000FF"/>
      <name val="Meiryo UI"/>
      <family val="3"/>
      <charset val="128"/>
    </font>
    <font>
      <b/>
      <sz val="15"/>
      <color indexed="56"/>
      <name val="ＭＳ Ｐゴシック"/>
      <family val="3"/>
      <charset val="128"/>
    </font>
    <font>
      <b/>
      <sz val="14"/>
      <color rgb="FF0000FF"/>
      <name val="ＭＳ Ｐゴシック"/>
      <family val="3"/>
      <charset val="128"/>
      <scheme val="minor"/>
    </font>
    <font>
      <sz val="11"/>
      <color indexed="12"/>
      <name val="Meiryo UI"/>
      <family val="3"/>
      <charset val="128"/>
    </font>
    <font>
      <b/>
      <sz val="16"/>
      <name val="ＭＳ Ｐゴシック"/>
      <family val="3"/>
      <charset val="128"/>
    </font>
    <font>
      <sz val="6"/>
      <color indexed="22"/>
      <name val="ＭＳ Ｐゴシック"/>
      <family val="3"/>
      <charset val="128"/>
    </font>
    <font>
      <sz val="16"/>
      <name val="ＭＳ Ｐゴシック"/>
      <family val="3"/>
      <charset val="128"/>
    </font>
    <font>
      <sz val="10"/>
      <color indexed="22"/>
      <name val="ＭＳ Ｐゴシック"/>
      <family val="3"/>
      <charset val="128"/>
    </font>
    <font>
      <sz val="7"/>
      <name val="ＭＳ Ｐゴシック"/>
      <family val="3"/>
      <charset val="128"/>
    </font>
    <font>
      <sz val="8"/>
      <name val="ＭＳ Ｐゴシック"/>
      <family val="3"/>
      <charset val="128"/>
    </font>
    <font>
      <sz val="7"/>
      <color indexed="10"/>
      <name val="ＭＳ Ｐゴシック"/>
      <family val="3"/>
      <charset val="128"/>
    </font>
    <font>
      <sz val="10"/>
      <name val="HGP創英角ｺﾞｼｯｸUB"/>
      <family val="3"/>
      <charset val="128"/>
    </font>
    <font>
      <sz val="9"/>
      <color indexed="8"/>
      <name val="ＭＳ ゴシック"/>
      <family val="3"/>
      <charset val="128"/>
    </font>
    <font>
      <sz val="9"/>
      <color indexed="9"/>
      <name val="ＭＳ ゴシック"/>
      <family val="3"/>
      <charset val="128"/>
    </font>
    <font>
      <sz val="11"/>
      <color indexed="9"/>
      <name val="ＭＳ Ｐゴシック"/>
      <family val="3"/>
      <charset val="128"/>
    </font>
    <font>
      <b/>
      <sz val="18"/>
      <color indexed="56"/>
      <name val="ＭＳ Ｐゴシック"/>
      <family val="3"/>
      <charset val="128"/>
    </font>
    <font>
      <b/>
      <sz val="9"/>
      <color indexed="9"/>
      <name val="ＭＳ ゴシック"/>
      <family val="3"/>
      <charset val="128"/>
    </font>
    <font>
      <b/>
      <sz val="11"/>
      <color indexed="9"/>
      <name val="ＭＳ Ｐゴシック"/>
      <family val="3"/>
      <charset val="128"/>
    </font>
    <font>
      <sz val="9"/>
      <color indexed="60"/>
      <name val="ＭＳ ゴシック"/>
      <family val="3"/>
      <charset val="128"/>
    </font>
    <font>
      <sz val="11"/>
      <color indexed="60"/>
      <name val="ＭＳ Ｐゴシック"/>
      <family val="3"/>
      <charset val="128"/>
    </font>
    <font>
      <sz val="9"/>
      <color indexed="52"/>
      <name val="ＭＳ ゴシック"/>
      <family val="3"/>
      <charset val="128"/>
    </font>
    <font>
      <sz val="11"/>
      <color indexed="52"/>
      <name val="ＭＳ Ｐゴシック"/>
      <family val="3"/>
      <charset val="128"/>
    </font>
    <font>
      <sz val="11"/>
      <color indexed="20"/>
      <name val="ＭＳ Ｐゴシック"/>
      <family val="3"/>
      <charset val="128"/>
    </font>
    <font>
      <sz val="9"/>
      <color indexed="20"/>
      <name val="ＭＳ ゴシック"/>
      <family val="3"/>
      <charset val="128"/>
    </font>
    <font>
      <b/>
      <sz val="9"/>
      <color indexed="52"/>
      <name val="ＭＳ ゴシック"/>
      <family val="3"/>
      <charset val="128"/>
    </font>
    <font>
      <b/>
      <sz val="11"/>
      <color indexed="52"/>
      <name val="ＭＳ Ｐゴシック"/>
      <family val="3"/>
      <charset val="128"/>
    </font>
    <font>
      <sz val="9"/>
      <color indexed="10"/>
      <name val="ＭＳ ゴシック"/>
      <family val="3"/>
      <charset val="128"/>
    </font>
    <font>
      <sz val="11"/>
      <color indexed="10"/>
      <name val="ＭＳ Ｐゴシック"/>
      <family val="3"/>
      <charset val="128"/>
    </font>
    <font>
      <b/>
      <sz val="15"/>
      <color indexed="56"/>
      <name val="ＭＳ ゴシック"/>
      <family val="3"/>
      <charset val="128"/>
    </font>
    <font>
      <b/>
      <sz val="13"/>
      <color indexed="56"/>
      <name val="ＭＳ ゴシック"/>
      <family val="3"/>
      <charset val="128"/>
    </font>
    <font>
      <b/>
      <sz val="13"/>
      <color indexed="56"/>
      <name val="ＭＳ Ｐゴシック"/>
      <family val="3"/>
      <charset val="128"/>
    </font>
    <font>
      <b/>
      <sz val="11"/>
      <color indexed="56"/>
      <name val="ＭＳ ゴシック"/>
      <family val="3"/>
      <charset val="128"/>
    </font>
    <font>
      <b/>
      <sz val="11"/>
      <color indexed="56"/>
      <name val="ＭＳ Ｐゴシック"/>
      <family val="3"/>
      <charset val="128"/>
    </font>
    <font>
      <b/>
      <sz val="9"/>
      <color indexed="8"/>
      <name val="ＭＳ ゴシック"/>
      <family val="3"/>
      <charset val="128"/>
    </font>
    <font>
      <b/>
      <sz val="11"/>
      <color indexed="8"/>
      <name val="ＭＳ Ｐゴシック"/>
      <family val="3"/>
      <charset val="128"/>
    </font>
    <font>
      <b/>
      <sz val="9"/>
      <color indexed="63"/>
      <name val="ＭＳ ゴシック"/>
      <family val="3"/>
      <charset val="128"/>
    </font>
    <font>
      <b/>
      <sz val="11"/>
      <color indexed="63"/>
      <name val="ＭＳ Ｐゴシック"/>
      <family val="3"/>
      <charset val="128"/>
    </font>
    <font>
      <i/>
      <sz val="9"/>
      <color indexed="23"/>
      <name val="ＭＳ ゴシック"/>
      <family val="3"/>
      <charset val="128"/>
    </font>
    <font>
      <i/>
      <sz val="11"/>
      <color indexed="23"/>
      <name val="ＭＳ Ｐゴシック"/>
      <family val="3"/>
      <charset val="128"/>
    </font>
    <font>
      <sz val="9"/>
      <color indexed="62"/>
      <name val="ＭＳ ゴシック"/>
      <family val="3"/>
      <charset val="128"/>
    </font>
    <font>
      <sz val="11"/>
      <color indexed="62"/>
      <name val="ＭＳ Ｐゴシック"/>
      <family val="3"/>
      <charset val="128"/>
    </font>
    <font>
      <sz val="9"/>
      <color indexed="17"/>
      <name val="ＭＳ ゴシック"/>
      <family val="3"/>
      <charset val="128"/>
    </font>
    <font>
      <sz val="11"/>
      <color indexed="17"/>
      <name val="ＭＳ Ｐゴシック"/>
      <family val="3"/>
      <charset val="128"/>
    </font>
    <font>
      <b/>
      <sz val="11"/>
      <color indexed="9"/>
      <name val="Meiryo UI"/>
      <family val="3"/>
      <charset val="128"/>
    </font>
    <font>
      <b/>
      <sz val="11"/>
      <color theme="0"/>
      <name val="Meiryo UI"/>
      <family val="3"/>
      <charset val="128"/>
    </font>
    <font>
      <b/>
      <sz val="11"/>
      <color rgb="FFFF0000"/>
      <name val="Meiryo UI"/>
      <family val="3"/>
      <charset val="128"/>
    </font>
    <font>
      <sz val="11"/>
      <color indexed="10"/>
      <name val="Meiryo UI"/>
      <family val="3"/>
      <charset val="128"/>
    </font>
    <font>
      <b/>
      <sz val="11"/>
      <name val="Meiryo UI"/>
      <family val="3"/>
      <charset val="128"/>
    </font>
    <font>
      <b/>
      <sz val="20"/>
      <name val="Meiryo UI"/>
      <family val="3"/>
      <charset val="128"/>
    </font>
    <font>
      <b/>
      <sz val="10"/>
      <color indexed="81"/>
      <name val="Meiryo UI"/>
      <family val="3"/>
      <charset val="128"/>
    </font>
    <font>
      <sz val="10"/>
      <color indexed="81"/>
      <name val="Meiryo UI"/>
      <family val="3"/>
      <charset val="128"/>
    </font>
    <font>
      <b/>
      <sz val="8"/>
      <color indexed="81"/>
      <name val="Meiryo UI"/>
      <family val="3"/>
      <charset val="128"/>
    </font>
    <font>
      <sz val="8"/>
      <color indexed="81"/>
      <name val="Meiryo UI"/>
      <family val="3"/>
      <charset val="128"/>
    </font>
    <font>
      <sz val="14"/>
      <name val="SimSun"/>
      <charset val="134"/>
    </font>
    <font>
      <b/>
      <sz val="11"/>
      <color theme="1"/>
      <name val="Meiryo UI"/>
      <family val="3"/>
      <charset val="128"/>
    </font>
    <font>
      <sz val="12"/>
      <color theme="1"/>
      <name val="ＭＳ Ｐゴシック"/>
      <family val="2"/>
      <charset val="128"/>
      <scheme val="minor"/>
    </font>
    <font>
      <u/>
      <sz val="10"/>
      <color indexed="12"/>
      <name val="Arial Unicode MS"/>
      <family val="3"/>
      <charset val="128"/>
    </font>
    <font>
      <sz val="12"/>
      <color theme="1"/>
      <name val="ＭＳ Ｐゴシック"/>
      <family val="3"/>
      <charset val="134"/>
      <scheme val="minor"/>
    </font>
    <font>
      <sz val="10"/>
      <color theme="1"/>
      <name val="Tahoma"/>
      <family val="2"/>
    </font>
    <font>
      <b/>
      <sz val="10"/>
      <color rgb="FFFF0000"/>
      <name val="Meiryo UI"/>
      <family val="3"/>
      <charset val="128"/>
    </font>
    <font>
      <b/>
      <sz val="10"/>
      <color indexed="10"/>
      <name val="Meiryo UI"/>
      <family val="3"/>
      <charset val="128"/>
    </font>
    <font>
      <sz val="12"/>
      <color theme="0"/>
      <name val="Meiryo UI"/>
      <family val="3"/>
      <charset val="128"/>
    </font>
    <font>
      <sz val="10"/>
      <name val="ＭＳ Ｐゴシック"/>
      <family val="2"/>
      <charset val="128"/>
      <scheme val="minor"/>
    </font>
    <font>
      <sz val="11"/>
      <color rgb="FFFF0000"/>
      <name val="ＭＳ Ｐゴシック"/>
      <family val="3"/>
      <charset val="128"/>
      <scheme val="minor"/>
    </font>
    <font>
      <sz val="11"/>
      <color rgb="FFFF0000"/>
      <name val="ＭＳ Ｐゴシック"/>
      <family val="3"/>
      <charset val="128"/>
    </font>
    <font>
      <sz val="11"/>
      <color theme="0"/>
      <name val="ＭＳ Ｐゴシック"/>
      <family val="2"/>
      <charset val="128"/>
      <scheme val="minor"/>
    </font>
    <font>
      <b/>
      <sz val="10"/>
      <color theme="0"/>
      <name val="Meiryo UI"/>
      <family val="3"/>
      <charset val="128"/>
    </font>
    <font>
      <sz val="9"/>
      <name val="Meiryo UI"/>
      <family val="3"/>
      <charset val="128"/>
    </font>
    <font>
      <sz val="11"/>
      <color theme="0" tint="-0.499984740745262"/>
      <name val="Meiryo UI"/>
      <family val="3"/>
      <charset val="128"/>
    </font>
    <font>
      <sz val="12"/>
      <color theme="0" tint="-0.499984740745262"/>
      <name val="Meiryo UI"/>
      <family val="3"/>
      <charset val="128"/>
    </font>
    <font>
      <sz val="9"/>
      <color rgb="FFFF0000"/>
      <name val="ＭＳ Ｐゴシック"/>
      <family val="3"/>
      <charset val="128"/>
      <scheme val="minor"/>
    </font>
    <font>
      <sz val="5"/>
      <color rgb="FF000000"/>
      <name val="メイリオ"/>
      <family val="3"/>
      <charset val="128"/>
    </font>
    <font>
      <b/>
      <sz val="20"/>
      <color theme="1"/>
      <name val="Meiryo UI"/>
      <family val="3"/>
      <charset val="128"/>
    </font>
    <font>
      <sz val="9"/>
      <color rgb="FF000000"/>
      <name val="Meiryo UI"/>
      <family val="3"/>
      <charset val="128"/>
    </font>
    <font>
      <b/>
      <sz val="16"/>
      <color theme="0"/>
      <name val="Meiryo UI"/>
      <family val="3"/>
      <charset val="128"/>
    </font>
    <font>
      <sz val="11"/>
      <color indexed="81"/>
      <name val="Meiryo UI"/>
      <family val="3"/>
      <charset val="128"/>
    </font>
    <font>
      <b/>
      <sz val="9"/>
      <color indexed="81"/>
      <name val="MS P ゴシック"/>
      <family val="3"/>
      <charset val="128"/>
    </font>
    <font>
      <u/>
      <sz val="12"/>
      <color theme="1"/>
      <name val="Meiryo UI"/>
      <family val="3"/>
      <charset val="128"/>
    </font>
    <font>
      <sz val="9"/>
      <color indexed="81"/>
      <name val="MS P ゴシック"/>
      <family val="3"/>
      <charset val="128"/>
    </font>
    <font>
      <u/>
      <sz val="11"/>
      <color theme="1"/>
      <name val="Meiryo UI"/>
      <family val="3"/>
      <charset val="128"/>
    </font>
    <font>
      <u/>
      <sz val="10"/>
      <color theme="1"/>
      <name val="Meiryo UI"/>
      <family val="3"/>
      <charset val="128"/>
    </font>
    <font>
      <u/>
      <sz val="12"/>
      <name val="Meiryo UI"/>
      <family val="3"/>
      <charset val="128"/>
    </font>
    <font>
      <b/>
      <sz val="12"/>
      <color rgb="FFFF0000"/>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00FF00"/>
        <bgColor indexed="64"/>
      </patternFill>
    </fill>
    <fill>
      <patternFill patternType="solid">
        <fgColor theme="0" tint="-0.34998626667073579"/>
        <bgColor indexed="64"/>
      </patternFill>
    </fill>
    <fill>
      <patternFill patternType="mediumGray">
        <fgColor rgb="FF99CCFF"/>
      </patternFill>
    </fill>
    <fill>
      <patternFill patternType="mediumGray">
        <fgColor indexed="44"/>
        <bgColor theme="0" tint="-0.249977111117893"/>
      </patternFill>
    </fill>
    <fill>
      <patternFill patternType="solid">
        <fgColor theme="0" tint="-0.249977111117893"/>
        <bgColor indexed="64"/>
      </patternFill>
    </fill>
    <fill>
      <patternFill patternType="solid">
        <fgColor rgb="FFC6EFCE"/>
      </patternFill>
    </fill>
    <fill>
      <patternFill patternType="mediumGray">
        <fgColor rgb="FF99CCFF"/>
        <bgColor auto="1"/>
      </patternFill>
    </fill>
    <fill>
      <patternFill patternType="solid">
        <fgColor rgb="FFFFCCFF"/>
        <bgColor indexed="44"/>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rgb="FFFFFF99"/>
        <bgColor indexed="64"/>
      </patternFill>
    </fill>
    <fill>
      <patternFill patternType="solid">
        <fgColor theme="1"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theme="1" tint="0.14999847407452621"/>
        <bgColor indexed="64"/>
      </patternFill>
    </fill>
    <fill>
      <patternFill patternType="solid">
        <fgColor indexed="1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rgb="FFFFFF00"/>
      </patternFill>
    </fill>
    <fill>
      <patternFill patternType="solid">
        <fgColor indexed="65"/>
        <bgColor auto="1"/>
      </patternFill>
    </fill>
    <fill>
      <patternFill patternType="mediumGray">
        <fgColor rgb="FFFFCC00"/>
        <bgColor auto="1"/>
      </patternFill>
    </fill>
    <fill>
      <patternFill patternType="mediumGray">
        <fgColor rgb="FF99CCFF"/>
        <bgColor indexed="9"/>
      </patternFill>
    </fill>
    <fill>
      <patternFill patternType="solid">
        <fgColor auto="1"/>
        <bgColor auto="1"/>
      </patternFill>
    </fill>
    <fill>
      <patternFill patternType="solid">
        <fgColor theme="0"/>
        <bgColor indexed="44"/>
      </patternFill>
    </fill>
    <fill>
      <patternFill patternType="solid">
        <fgColor theme="0" tint="-0.249977111117893"/>
        <bgColor indexed="44"/>
      </patternFill>
    </fill>
    <fill>
      <patternFill patternType="solid">
        <fgColor rgb="FFFFFF00"/>
        <bgColor indexed="44"/>
      </patternFill>
    </fill>
    <fill>
      <patternFill patternType="mediumGray">
        <fgColor indexed="44"/>
        <bgColor theme="1" tint="0.249977111117893"/>
      </patternFill>
    </fill>
    <fill>
      <patternFill patternType="solid">
        <fgColor theme="1" tint="0.249977111117893"/>
        <bgColor indexed="44"/>
      </patternFill>
    </fill>
  </fills>
  <borders count="35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style="thick">
        <color rgb="FFFF6600"/>
      </left>
      <right/>
      <top style="thin">
        <color indexed="64"/>
      </top>
      <bottom style="thick">
        <color rgb="FFFF6600"/>
      </bottom>
      <diagonal/>
    </border>
    <border>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diagonal/>
    </border>
    <border>
      <left/>
      <right/>
      <top style="thin">
        <color indexed="64"/>
      </top>
      <bottom style="thick">
        <color indexed="53"/>
      </bottom>
      <diagonal/>
    </border>
    <border>
      <left/>
      <right style="thin">
        <color indexed="64"/>
      </right>
      <top style="thin">
        <color indexed="64"/>
      </top>
      <bottom style="thick">
        <color indexed="53"/>
      </bottom>
      <diagonal/>
    </border>
    <border>
      <left style="thin">
        <color indexed="64"/>
      </left>
      <right/>
      <top style="thin">
        <color indexed="64"/>
      </top>
      <bottom style="thick">
        <color indexed="53"/>
      </bottom>
      <diagonal/>
    </border>
    <border>
      <left style="thick">
        <color rgb="FFFF6600"/>
      </left>
      <right/>
      <top style="thin">
        <color indexed="64"/>
      </top>
      <bottom style="thin">
        <color indexed="64"/>
      </bottom>
      <diagonal/>
    </border>
    <border>
      <left/>
      <right style="thick">
        <color rgb="FFFF6600"/>
      </right>
      <top style="thin">
        <color indexed="64"/>
      </top>
      <bottom style="thin">
        <color indexed="64"/>
      </bottom>
      <diagonal/>
    </border>
    <border>
      <left style="thick">
        <color rgb="FFFF6600"/>
      </left>
      <right/>
      <top/>
      <bottom style="thin">
        <color indexed="64"/>
      </bottom>
      <diagonal/>
    </border>
    <border>
      <left style="thick">
        <color rgb="FFFF6600"/>
      </left>
      <right/>
      <top style="thin">
        <color indexed="64"/>
      </top>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thick">
        <color indexed="53"/>
      </left>
      <right/>
      <top style="thin">
        <color indexed="64"/>
      </top>
      <bottom style="thick">
        <color indexed="53"/>
      </bottom>
      <diagonal/>
    </border>
    <border>
      <left style="thin">
        <color indexed="64"/>
      </left>
      <right style="thick">
        <color rgb="FFFF6600"/>
      </right>
      <top style="thin">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thick">
        <color indexed="53"/>
      </bottom>
      <diagonal/>
    </border>
    <border>
      <left/>
      <right style="thick">
        <color indexed="53"/>
      </right>
      <top style="thin">
        <color indexed="64"/>
      </top>
      <bottom style="thick">
        <color indexed="5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right style="thick">
        <color rgb="FFFF6600"/>
      </right>
      <top style="thick">
        <color indexed="53"/>
      </top>
      <bottom/>
      <diagonal/>
    </border>
    <border>
      <left/>
      <right style="thick">
        <color rgb="FFFF6600"/>
      </right>
      <top style="thin">
        <color indexed="64"/>
      </top>
      <bottom style="thick">
        <color rgb="FFFF6600"/>
      </bottom>
      <diagonal/>
    </border>
    <border>
      <left style="thick">
        <color rgb="FFFF6600"/>
      </left>
      <right/>
      <top style="thick">
        <color rgb="FFFF6600"/>
      </top>
      <bottom/>
      <diagonal/>
    </border>
    <border>
      <left style="thick">
        <color theme="1"/>
      </left>
      <right/>
      <top style="thick">
        <color theme="1"/>
      </top>
      <bottom style="thin">
        <color indexed="64"/>
      </bottom>
      <diagonal/>
    </border>
    <border>
      <left/>
      <right/>
      <top style="thick">
        <color theme="1"/>
      </top>
      <bottom style="thin">
        <color indexed="64"/>
      </bottom>
      <diagonal/>
    </border>
    <border>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thick">
        <color theme="1"/>
      </right>
      <top style="thick">
        <color theme="1"/>
      </top>
      <bottom style="thin">
        <color indexed="64"/>
      </bottom>
      <diagonal/>
    </border>
    <border>
      <left style="thick">
        <color theme="1"/>
      </left>
      <right/>
      <top style="thin">
        <color indexed="64"/>
      </top>
      <bottom/>
      <diagonal/>
    </border>
    <border>
      <left style="thin">
        <color indexed="64"/>
      </left>
      <right style="thick">
        <color theme="1"/>
      </right>
      <top style="thin">
        <color indexed="64"/>
      </top>
      <bottom style="thin">
        <color indexed="64"/>
      </bottom>
      <diagonal/>
    </border>
    <border>
      <left style="thick">
        <color theme="1"/>
      </left>
      <right/>
      <top/>
      <bottom style="thick">
        <color theme="1"/>
      </bottom>
      <diagonal/>
    </border>
    <border>
      <left/>
      <right/>
      <top/>
      <bottom style="thick">
        <color theme="1"/>
      </bottom>
      <diagonal/>
    </border>
    <border>
      <left/>
      <right style="thin">
        <color indexed="64"/>
      </right>
      <top/>
      <bottom style="thick">
        <color theme="1"/>
      </bottom>
      <diagonal/>
    </border>
    <border>
      <left style="thin">
        <color indexed="64"/>
      </left>
      <right/>
      <top/>
      <bottom style="thick">
        <color theme="1"/>
      </bottom>
      <diagonal/>
    </border>
    <border>
      <left/>
      <right style="thick">
        <color theme="1"/>
      </right>
      <top/>
      <bottom style="thick">
        <color theme="1"/>
      </bottom>
      <diagonal/>
    </border>
    <border>
      <left/>
      <right style="thick">
        <color rgb="FFFF6600"/>
      </right>
      <top style="thin">
        <color indexed="64"/>
      </top>
      <bottom/>
      <diagonal/>
    </border>
    <border>
      <left/>
      <right style="thick">
        <color rgb="FFFF6600"/>
      </right>
      <top style="medium">
        <color theme="1"/>
      </top>
      <bottom style="thin">
        <color indexed="64"/>
      </bottom>
      <diagonal/>
    </border>
    <border>
      <left/>
      <right/>
      <top style="medium">
        <color theme="1"/>
      </top>
      <bottom style="thin">
        <color indexed="64"/>
      </bottom>
      <diagonal/>
    </border>
    <border>
      <left/>
      <right style="thick">
        <color rgb="FFFF6600"/>
      </right>
      <top style="thick">
        <color rgb="FFFF6600"/>
      </top>
      <bottom/>
      <diagonal/>
    </border>
    <border>
      <left style="thin">
        <color indexed="64"/>
      </left>
      <right style="thick">
        <color theme="1"/>
      </right>
      <top style="thin">
        <color indexed="64"/>
      </top>
      <bottom/>
      <diagonal/>
    </border>
    <border>
      <left/>
      <right/>
      <top style="thick">
        <color theme="1"/>
      </top>
      <bottom/>
      <diagonal/>
    </border>
    <border>
      <left/>
      <right/>
      <top style="thick">
        <color auto="1"/>
      </top>
      <bottom/>
      <diagonal/>
    </border>
    <border>
      <left style="thick">
        <color indexed="53"/>
      </left>
      <right/>
      <top style="thick">
        <color indexed="53"/>
      </top>
      <bottom/>
      <diagonal/>
    </border>
    <border>
      <left/>
      <right/>
      <top style="double">
        <color indexed="18"/>
      </top>
      <bottom style="thick">
        <color theme="1"/>
      </bottom>
      <diagonal/>
    </border>
    <border>
      <left style="thick">
        <color rgb="FFFF6600"/>
      </left>
      <right style="thin">
        <color indexed="64"/>
      </right>
      <top style="thick">
        <color rgb="FFFF6600"/>
      </top>
      <bottom style="thin">
        <color indexed="64"/>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n">
        <color indexed="64"/>
      </right>
      <top style="thin">
        <color indexed="64"/>
      </top>
      <bottom style="thick">
        <color rgb="FFFF6600"/>
      </bottom>
      <diagonal/>
    </border>
    <border>
      <left style="thin">
        <color indexed="64"/>
      </left>
      <right/>
      <top style="thin">
        <color indexed="64"/>
      </top>
      <bottom style="thick">
        <color theme="1"/>
      </bottom>
      <diagonal/>
    </border>
    <border>
      <left/>
      <right style="thin">
        <color indexed="64"/>
      </right>
      <top style="thin">
        <color indexed="64"/>
      </top>
      <bottom style="thick">
        <color theme="1"/>
      </bottom>
      <diagonal/>
    </border>
    <border>
      <left/>
      <right/>
      <top style="thin">
        <color indexed="64"/>
      </top>
      <bottom style="thick">
        <color theme="1"/>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right style="thin">
        <color indexed="64"/>
      </right>
      <top style="thick">
        <color rgb="FFFF6600"/>
      </top>
      <bottom style="thin">
        <color indexed="64"/>
      </bottom>
      <diagonal/>
    </border>
    <border>
      <left/>
      <right style="hair">
        <color indexed="64"/>
      </right>
      <top/>
      <bottom style="medium">
        <color indexed="64"/>
      </bottom>
      <diagonal/>
    </border>
    <border>
      <left/>
      <right style="thick">
        <color rgb="FFFF6600"/>
      </right>
      <top/>
      <bottom/>
      <diagonal/>
    </border>
    <border>
      <left/>
      <right/>
      <top/>
      <bottom style="thick">
        <color rgb="FFFF6600"/>
      </bottom>
      <diagonal/>
    </border>
    <border>
      <left/>
      <right style="thick">
        <color rgb="FFFF6600"/>
      </right>
      <top/>
      <bottom style="thick">
        <color rgb="FFFF6600"/>
      </bottom>
      <diagonal/>
    </border>
    <border>
      <left style="thin">
        <color theme="1"/>
      </left>
      <right/>
      <top style="thick">
        <color rgb="FFFF6600"/>
      </top>
      <bottom/>
      <diagonal/>
    </border>
    <border>
      <left style="thin">
        <color theme="1"/>
      </left>
      <right/>
      <top/>
      <bottom/>
      <diagonal/>
    </border>
    <border>
      <left style="thin">
        <color theme="1"/>
      </left>
      <right/>
      <top/>
      <bottom style="thick">
        <color rgb="FFFF6600"/>
      </bottom>
      <diagonal/>
    </border>
    <border>
      <left style="thin">
        <color theme="1"/>
      </left>
      <right/>
      <top style="thin">
        <color theme="1"/>
      </top>
      <bottom/>
      <diagonal/>
    </border>
    <border>
      <left/>
      <right/>
      <top style="thin">
        <color theme="1"/>
      </top>
      <bottom/>
      <diagonal/>
    </border>
    <border>
      <left/>
      <right style="thick">
        <color rgb="FFFF6600"/>
      </right>
      <top style="thin">
        <color theme="1"/>
      </top>
      <bottom/>
      <diagonal/>
    </border>
    <border>
      <left/>
      <right style="thin">
        <color theme="1"/>
      </right>
      <top style="thin">
        <color indexed="64"/>
      </top>
      <bottom style="thin">
        <color indexed="64"/>
      </bottom>
      <diagonal/>
    </border>
    <border>
      <left/>
      <right style="medium">
        <color indexed="64"/>
      </right>
      <top style="thick">
        <color rgb="FFFF6600"/>
      </top>
      <bottom style="thin">
        <color indexed="64"/>
      </bottom>
      <diagonal/>
    </border>
    <border>
      <left style="hair">
        <color indexed="64"/>
      </left>
      <right/>
      <top/>
      <bottom style="medium">
        <color indexed="64"/>
      </bottom>
      <diagonal/>
    </border>
    <border>
      <left/>
      <right style="thin">
        <color theme="1"/>
      </right>
      <top style="thin">
        <color indexed="64"/>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left style="thick">
        <color rgb="FFFF6600"/>
      </left>
      <right style="thin">
        <color indexed="64"/>
      </right>
      <top style="thin">
        <color indexed="64"/>
      </top>
      <bottom style="thick">
        <color rgb="FFFF6600"/>
      </bottom>
      <diagonal/>
    </border>
    <border>
      <left style="thin">
        <color indexed="64"/>
      </left>
      <right style="thick">
        <color rgb="FFFF6600"/>
      </right>
      <top style="thin">
        <color indexed="64"/>
      </top>
      <bottom style="thick">
        <color rgb="FFFF6600"/>
      </bottom>
      <diagonal/>
    </border>
    <border>
      <left style="hair">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diagonal/>
    </border>
    <border>
      <left style="thick">
        <color rgb="FFFF6600"/>
      </left>
      <right/>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53"/>
      </right>
      <top style="thin">
        <color indexed="64"/>
      </top>
      <bottom style="thin">
        <color indexed="64"/>
      </bottom>
      <diagonal/>
    </border>
    <border>
      <left/>
      <right style="thick">
        <color rgb="FFFF6600"/>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ck">
        <color rgb="FFFF6600"/>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thick">
        <color rgb="FFFF6600"/>
      </top>
      <bottom style="thick">
        <color rgb="FFFF6600"/>
      </bottom>
      <diagonal/>
    </border>
    <border>
      <left/>
      <right style="medium">
        <color indexed="64"/>
      </right>
      <top style="thick">
        <color rgb="FFFF6600"/>
      </top>
      <bottom/>
      <diagonal/>
    </border>
    <border>
      <left style="thick">
        <color indexed="53"/>
      </left>
      <right/>
      <top style="thin">
        <color indexed="64"/>
      </top>
      <bottom style="thick">
        <color rgb="FFFF6600"/>
      </bottom>
      <diagonal/>
    </border>
    <border>
      <left style="hair">
        <color auto="1"/>
      </left>
      <right/>
      <top style="thick">
        <color rgb="FFFF6600"/>
      </top>
      <bottom style="thin">
        <color indexed="64"/>
      </bottom>
      <diagonal/>
    </border>
    <border diagonalUp="1">
      <left style="thin">
        <color indexed="64"/>
      </left>
      <right style="thin">
        <color indexed="64"/>
      </right>
      <top style="thin">
        <color indexed="64"/>
      </top>
      <bottom style="thin">
        <color indexed="64"/>
      </bottom>
      <diagonal style="hair">
        <color auto="1"/>
      </diagonal>
    </border>
    <border diagonalUp="1">
      <left style="thick">
        <color rgb="FFFF6600"/>
      </left>
      <right style="thin">
        <color indexed="64"/>
      </right>
      <top style="thin">
        <color indexed="64"/>
      </top>
      <bottom style="thin">
        <color indexed="64"/>
      </bottom>
      <diagonal style="hair">
        <color auto="1"/>
      </diagonal>
    </border>
    <border>
      <left style="thick">
        <color rgb="FFFF6600"/>
      </left>
      <right style="thin">
        <color indexed="64"/>
      </right>
      <top style="thin">
        <color indexed="64"/>
      </top>
      <bottom style="thin">
        <color indexed="64"/>
      </bottom>
      <diagonal/>
    </border>
    <border>
      <left style="thick">
        <color rgb="FFFF6600"/>
      </left>
      <right/>
      <top style="medium">
        <color auto="1"/>
      </top>
      <bottom style="thin">
        <color auto="1"/>
      </bottom>
      <diagonal/>
    </border>
    <border>
      <left style="thick">
        <color rgb="FFFF6600"/>
      </left>
      <right style="thin">
        <color indexed="64"/>
      </right>
      <top/>
      <bottom style="thick">
        <color rgb="FFFF6600"/>
      </bottom>
      <diagonal/>
    </border>
    <border>
      <left style="thin">
        <color indexed="64"/>
      </left>
      <right style="thin">
        <color indexed="64"/>
      </right>
      <top/>
      <bottom style="thick">
        <color rgb="FFFF6600"/>
      </bottom>
      <diagonal/>
    </border>
    <border>
      <left style="thin">
        <color indexed="64"/>
      </left>
      <right style="thick">
        <color rgb="FFFF6600"/>
      </right>
      <top/>
      <bottom/>
      <diagonal/>
    </border>
    <border>
      <left/>
      <right style="thin">
        <color auto="1"/>
      </right>
      <top style="thick">
        <color rgb="FFFF6600"/>
      </top>
      <bottom style="thick">
        <color rgb="FFFF6600"/>
      </bottom>
      <diagonal/>
    </border>
    <border>
      <left style="thin">
        <color indexed="64"/>
      </left>
      <right/>
      <top style="thick">
        <color rgb="FFFF6600"/>
      </top>
      <bottom style="thick">
        <color rgb="FFFF6600"/>
      </bottom>
      <diagonal/>
    </border>
    <border>
      <left style="thick">
        <color rgb="FFFF6600"/>
      </left>
      <right/>
      <top/>
      <bottom style="thick">
        <color rgb="FFFF6600"/>
      </bottom>
      <diagonal/>
    </border>
    <border>
      <left/>
      <right style="thin">
        <color auto="1"/>
      </right>
      <top/>
      <bottom style="thick">
        <color rgb="FFFF6600"/>
      </bottom>
      <diagonal/>
    </border>
    <border>
      <left style="thin">
        <color indexed="64"/>
      </left>
      <right/>
      <top/>
      <bottom style="thick">
        <color rgb="FFFF6600"/>
      </bottom>
      <diagonal/>
    </border>
    <border>
      <left style="medium">
        <color auto="1"/>
      </left>
      <right style="double">
        <color indexed="18"/>
      </right>
      <top/>
      <bottom/>
      <diagonal/>
    </border>
    <border>
      <left/>
      <right style="thick">
        <color indexed="53"/>
      </right>
      <top style="thin">
        <color indexed="64"/>
      </top>
      <bottom style="thick">
        <color rgb="FFFF6600"/>
      </bottom>
      <diagonal/>
    </border>
    <border>
      <left style="thick">
        <color rgb="FFFF6600"/>
      </left>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thin">
        <color theme="0"/>
      </right>
      <top style="thin">
        <color indexed="64"/>
      </top>
      <bottom style="thick">
        <color indexed="53"/>
      </bottom>
      <diagonal/>
    </border>
    <border>
      <left style="medium">
        <color indexed="64"/>
      </left>
      <right style="thin">
        <color indexed="64"/>
      </right>
      <top/>
      <bottom style="thin">
        <color indexed="64"/>
      </bottom>
      <diagonal/>
    </border>
    <border>
      <left/>
      <right style="thick">
        <color rgb="FFFF6600"/>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ck">
        <color indexed="53"/>
      </right>
      <top style="thick">
        <color indexed="53"/>
      </top>
      <bottom/>
      <diagonal/>
    </border>
    <border>
      <left style="thick">
        <color indexed="53"/>
      </left>
      <right/>
      <top style="thin">
        <color indexed="64"/>
      </top>
      <bottom style="thin">
        <color indexed="64"/>
      </bottom>
      <diagonal/>
    </border>
    <border>
      <left style="thick">
        <color indexed="53"/>
      </left>
      <right/>
      <top style="thin">
        <color indexed="64"/>
      </top>
      <bottom/>
      <diagonal/>
    </border>
    <border>
      <left style="medium">
        <color indexed="64"/>
      </left>
      <right/>
      <top style="thin">
        <color indexed="64"/>
      </top>
      <bottom style="thin">
        <color indexed="64"/>
      </bottom>
      <diagonal/>
    </border>
    <border>
      <left/>
      <right style="thick">
        <color indexed="53"/>
      </right>
      <top style="thin">
        <color indexed="64"/>
      </top>
      <bottom/>
      <diagonal/>
    </border>
    <border>
      <left style="medium">
        <color indexed="64"/>
      </left>
      <right/>
      <top style="thin">
        <color indexed="64"/>
      </top>
      <bottom/>
      <diagonal/>
    </border>
    <border>
      <left/>
      <right style="thick">
        <color rgb="FFFF6600"/>
      </right>
      <top style="thin">
        <color indexed="64"/>
      </top>
      <bottom/>
      <diagonal/>
    </border>
    <border>
      <left/>
      <right style="thick">
        <color rgb="FFFF6600"/>
      </right>
      <top style="thin">
        <color indexed="64"/>
      </top>
      <bottom style="thin">
        <color indexed="64"/>
      </bottom>
      <diagonal/>
    </border>
    <border>
      <left/>
      <right/>
      <top style="thin">
        <color indexed="64"/>
      </top>
      <bottom style="medium">
        <color indexed="64"/>
      </bottom>
      <diagonal/>
    </border>
    <border>
      <left style="thick">
        <color rgb="FFFF6600"/>
      </left>
      <right/>
      <top style="thin">
        <color indexed="64"/>
      </top>
      <bottom style="thin">
        <color indexed="64"/>
      </bottom>
      <diagonal/>
    </border>
    <border>
      <left/>
      <right style="medium">
        <color indexed="64"/>
      </right>
      <top style="thin">
        <color indexed="64"/>
      </top>
      <bottom/>
      <diagonal/>
    </border>
    <border>
      <left/>
      <right style="thick">
        <color rgb="FFFF6600"/>
      </right>
      <top style="medium">
        <color indexed="64"/>
      </top>
      <bottom/>
      <diagonal/>
    </border>
    <border>
      <left style="thick">
        <color rgb="FFFF6600"/>
      </left>
      <right/>
      <top style="thin">
        <color indexed="64"/>
      </top>
      <bottom/>
      <diagonal/>
    </border>
    <border>
      <left/>
      <right style="thin">
        <color indexed="64"/>
      </right>
      <top style="thin">
        <color indexed="64"/>
      </top>
      <bottom style="medium">
        <color indexed="64"/>
      </bottom>
      <diagonal/>
    </border>
    <border>
      <left style="thin">
        <color indexed="64"/>
      </left>
      <right/>
      <top style="thick">
        <color rgb="FFFF6600"/>
      </top>
      <bottom style="medium">
        <color indexed="64"/>
      </bottom>
      <diagonal/>
    </border>
    <border>
      <left/>
      <right style="thick">
        <color rgb="FFFF6600"/>
      </right>
      <top style="thick">
        <color rgb="FFFF6600"/>
      </top>
      <bottom style="medium">
        <color indexed="64"/>
      </bottom>
      <diagonal/>
    </border>
    <border>
      <left/>
      <right style="medium">
        <color auto="1"/>
      </right>
      <top/>
      <bottom style="thick">
        <color rgb="FFFF6600"/>
      </bottom>
      <diagonal/>
    </border>
    <border>
      <left style="thin">
        <color indexed="64"/>
      </left>
      <right style="thick">
        <color rgb="FFFF6600"/>
      </right>
      <top style="thick">
        <color rgb="FFFF6600"/>
      </top>
      <bottom style="thick">
        <color rgb="FFFF6600"/>
      </bottom>
      <diagonal/>
    </border>
    <border>
      <left/>
      <right style="medium">
        <color indexed="64"/>
      </right>
      <top/>
      <bottom style="hair">
        <color indexed="64"/>
      </bottom>
      <diagonal/>
    </border>
    <border>
      <left/>
      <right style="thick">
        <color rgb="FFFF6600"/>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thick">
        <color rgb="FFFF6600"/>
      </bottom>
      <diagonal/>
    </border>
    <border>
      <left style="thin">
        <color indexed="64"/>
      </left>
      <right style="thin">
        <color indexed="64"/>
      </right>
      <top style="thick">
        <color rgb="FFFF6600"/>
      </top>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medium">
        <color auto="1"/>
      </right>
      <top style="thick">
        <color rgb="FFFF6600"/>
      </top>
      <bottom style="medium">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style="thin">
        <color indexed="64"/>
      </left>
      <right/>
      <top/>
      <bottom style="thick">
        <color indexed="53"/>
      </bottom>
      <diagonal/>
    </border>
    <border>
      <left/>
      <right/>
      <top/>
      <bottom style="thick">
        <color indexed="53"/>
      </bottom>
      <diagonal/>
    </border>
    <border>
      <left/>
      <right style="thin">
        <color indexed="64"/>
      </right>
      <top/>
      <bottom style="thick">
        <color indexed="53"/>
      </bottom>
      <diagonal/>
    </border>
    <border>
      <left/>
      <right style="medium">
        <color indexed="64"/>
      </right>
      <top style="thick">
        <color rgb="FFFF6600"/>
      </top>
      <bottom style="thick">
        <color rgb="FFFF6600"/>
      </bottom>
      <diagonal/>
    </border>
    <border>
      <left style="thin">
        <color indexed="64"/>
      </left>
      <right/>
      <top style="thick">
        <color indexed="53"/>
      </top>
      <bottom style="thin">
        <color indexed="64"/>
      </bottom>
      <diagonal/>
    </border>
    <border>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medium">
        <color indexed="64"/>
      </right>
      <top style="thick">
        <color indexed="53"/>
      </top>
      <bottom style="thin">
        <color indexed="64"/>
      </bottom>
      <diagonal/>
    </border>
    <border>
      <left style="thick">
        <color rgb="FFFF6600"/>
      </left>
      <right/>
      <top style="thick">
        <color rgb="FFFF6600"/>
      </top>
      <bottom style="thin">
        <color indexed="64"/>
      </bottom>
      <diagonal/>
    </border>
    <border>
      <left/>
      <right style="thick">
        <color rgb="FFFF6600"/>
      </right>
      <top style="thick">
        <color rgb="FFFF6600"/>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rgb="FFFF6600"/>
      </left>
      <right style="thin">
        <color indexed="64"/>
      </right>
      <top style="thin">
        <color indexed="64"/>
      </top>
      <bottom/>
      <diagonal/>
    </border>
    <border>
      <left style="thin">
        <color indexed="64"/>
      </left>
      <right style="thick">
        <color rgb="FFFF6600"/>
      </right>
      <top style="thin">
        <color indexed="64"/>
      </top>
      <bottom/>
      <diagonal/>
    </border>
    <border>
      <left/>
      <right/>
      <top style="medium">
        <color indexed="64"/>
      </top>
      <bottom style="thick">
        <color rgb="FFFF6600"/>
      </bottom>
      <diagonal/>
    </border>
    <border>
      <left style="thick">
        <color indexed="53"/>
      </left>
      <right/>
      <top/>
      <bottom style="thick">
        <color indexed="53"/>
      </bottom>
      <diagonal/>
    </border>
    <border>
      <left style="thin">
        <color indexed="64"/>
      </left>
      <right style="thin">
        <color indexed="64"/>
      </right>
      <top/>
      <bottom style="thick">
        <color indexed="53"/>
      </bottom>
      <diagonal/>
    </border>
    <border>
      <left/>
      <right style="thin">
        <color theme="0"/>
      </right>
      <top/>
      <bottom style="thick">
        <color indexed="53"/>
      </bottom>
      <diagonal/>
    </border>
    <border>
      <left/>
      <right style="thick">
        <color indexed="53"/>
      </right>
      <top/>
      <bottom style="thick">
        <color indexed="53"/>
      </bottom>
      <diagonal/>
    </border>
    <border>
      <left/>
      <right style="hair">
        <color auto="1"/>
      </right>
      <top style="thick">
        <color rgb="FFFF6600"/>
      </top>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style="thin">
        <color auto="1"/>
      </left>
      <right style="thin">
        <color auto="1"/>
      </right>
      <top/>
      <bottom style="medium">
        <color indexed="64"/>
      </bottom>
      <diagonal/>
    </border>
    <border>
      <left style="thick">
        <color rgb="FFFF6600"/>
      </left>
      <right style="thin">
        <color indexed="64"/>
      </right>
      <top/>
      <bottom style="thin">
        <color indexed="64"/>
      </bottom>
      <diagonal/>
    </border>
    <border>
      <left style="thick">
        <color rgb="FFFF6600"/>
      </left>
      <right/>
      <top style="thin">
        <color indexed="64"/>
      </top>
      <bottom style="medium">
        <color indexed="64"/>
      </bottom>
      <diagonal/>
    </border>
    <border>
      <left style="thick">
        <color rgb="FFFF6600"/>
      </left>
      <right/>
      <top/>
      <bottom style="medium">
        <color auto="1"/>
      </bottom>
      <diagonal/>
    </border>
    <border>
      <left style="thin">
        <color indexed="64"/>
      </left>
      <right style="medium">
        <color indexed="64"/>
      </right>
      <top style="thin">
        <color indexed="64"/>
      </top>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right style="hair">
        <color indexed="64"/>
      </right>
      <top style="thick">
        <color rgb="FFFF6600"/>
      </top>
      <bottom style="thick">
        <color rgb="FFFF66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6600"/>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s>
  <cellStyleXfs count="166">
    <xf numFmtId="0" fontId="0" fillId="0" borderId="0">
      <alignment vertical="center"/>
    </xf>
    <xf numFmtId="0" fontId="6" fillId="0" borderId="0"/>
    <xf numFmtId="0" fontId="11" fillId="0" borderId="0"/>
    <xf numFmtId="0" fontId="12" fillId="0" borderId="0">
      <alignment vertical="center"/>
    </xf>
    <xf numFmtId="0" fontId="11" fillId="0" borderId="0">
      <alignment vertical="center"/>
    </xf>
    <xf numFmtId="6"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top"/>
      <protection locked="0"/>
    </xf>
    <xf numFmtId="38" fontId="26" fillId="0" borderId="0" applyFont="0" applyFill="0" applyBorder="0" applyAlignment="0" applyProtection="0">
      <alignment vertical="center"/>
    </xf>
    <xf numFmtId="0" fontId="6" fillId="0" borderId="0"/>
    <xf numFmtId="6" fontId="26" fillId="0" borderId="0" applyFont="0" applyFill="0" applyBorder="0" applyAlignment="0" applyProtection="0">
      <alignment vertical="center"/>
    </xf>
    <xf numFmtId="0" fontId="54" fillId="22" borderId="0" applyNumberFormat="0" applyBorder="0" applyAlignment="0" applyProtection="0">
      <alignment vertical="center"/>
    </xf>
    <xf numFmtId="38" fontId="56" fillId="0" borderId="0" applyFont="0" applyFill="0" applyBorder="0" applyAlignment="0" applyProtection="0">
      <alignment vertical="center"/>
    </xf>
    <xf numFmtId="6" fontId="56" fillId="0" borderId="0" applyFont="0" applyFill="0" applyBorder="0" applyAlignment="0" applyProtection="0">
      <alignment vertical="center"/>
    </xf>
    <xf numFmtId="0" fontId="1" fillId="0" borderId="0">
      <alignment vertical="center"/>
    </xf>
    <xf numFmtId="9" fontId="26" fillId="0" borderId="0" applyFont="0" applyFill="0" applyBorder="0" applyAlignment="0" applyProtection="0">
      <alignment vertical="center"/>
    </xf>
    <xf numFmtId="0" fontId="11" fillId="0" borderId="0"/>
    <xf numFmtId="0" fontId="11" fillId="0" borderId="0"/>
    <xf numFmtId="0" fontId="82" fillId="37" borderId="0" applyNumberFormat="0" applyBorder="0" applyAlignment="0" applyProtection="0">
      <alignment vertical="center"/>
    </xf>
    <xf numFmtId="0" fontId="56" fillId="37" borderId="0" applyNumberFormat="0" applyBorder="0" applyAlignment="0" applyProtection="0">
      <alignment vertical="center"/>
    </xf>
    <xf numFmtId="0" fontId="82" fillId="38" borderId="0" applyNumberFormat="0" applyBorder="0" applyAlignment="0" applyProtection="0">
      <alignment vertical="center"/>
    </xf>
    <xf numFmtId="0" fontId="56" fillId="38" borderId="0" applyNumberFormat="0" applyBorder="0" applyAlignment="0" applyProtection="0">
      <alignment vertical="center"/>
    </xf>
    <xf numFmtId="0" fontId="82" fillId="39" borderId="0" applyNumberFormat="0" applyBorder="0" applyAlignment="0" applyProtection="0">
      <alignment vertical="center"/>
    </xf>
    <xf numFmtId="0" fontId="56" fillId="39"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1" borderId="0" applyNumberFormat="0" applyBorder="0" applyAlignment="0" applyProtection="0">
      <alignment vertical="center"/>
    </xf>
    <xf numFmtId="0" fontId="56" fillId="41" borderId="0" applyNumberFormat="0" applyBorder="0" applyAlignment="0" applyProtection="0">
      <alignment vertical="center"/>
    </xf>
    <xf numFmtId="0" fontId="82" fillId="42" borderId="0" applyNumberFormat="0" applyBorder="0" applyAlignment="0" applyProtection="0">
      <alignment vertical="center"/>
    </xf>
    <xf numFmtId="0" fontId="56" fillId="42"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4" borderId="0" applyNumberFormat="0" applyBorder="0" applyAlignment="0" applyProtection="0">
      <alignment vertical="center"/>
    </xf>
    <xf numFmtId="0" fontId="56" fillId="44" borderId="0" applyNumberFormat="0" applyBorder="0" applyAlignment="0" applyProtection="0">
      <alignment vertical="center"/>
    </xf>
    <xf numFmtId="0" fontId="82" fillId="45" borderId="0" applyNumberFormat="0" applyBorder="0" applyAlignment="0" applyProtection="0">
      <alignment vertical="center"/>
    </xf>
    <xf numFmtId="0" fontId="56" fillId="45" borderId="0" applyNumberFormat="0" applyBorder="0" applyAlignment="0" applyProtection="0">
      <alignment vertical="center"/>
    </xf>
    <xf numFmtId="0" fontId="82" fillId="40" borderId="0" applyNumberFormat="0" applyBorder="0" applyAlignment="0" applyProtection="0">
      <alignment vertical="center"/>
    </xf>
    <xf numFmtId="0" fontId="56" fillId="40" borderId="0" applyNumberFormat="0" applyBorder="0" applyAlignment="0" applyProtection="0">
      <alignment vertical="center"/>
    </xf>
    <xf numFmtId="0" fontId="82" fillId="43" borderId="0" applyNumberFormat="0" applyBorder="0" applyAlignment="0" applyProtection="0">
      <alignment vertical="center"/>
    </xf>
    <xf numFmtId="0" fontId="56" fillId="43" borderId="0" applyNumberFormat="0" applyBorder="0" applyAlignment="0" applyProtection="0">
      <alignment vertical="center"/>
    </xf>
    <xf numFmtId="0" fontId="82" fillId="46" borderId="0" applyNumberFormat="0" applyBorder="0" applyAlignment="0" applyProtection="0">
      <alignment vertical="center"/>
    </xf>
    <xf numFmtId="0" fontId="56" fillId="46" borderId="0" applyNumberFormat="0" applyBorder="0" applyAlignment="0" applyProtection="0">
      <alignment vertical="center"/>
    </xf>
    <xf numFmtId="0" fontId="83" fillId="47" borderId="0" applyNumberFormat="0" applyBorder="0" applyAlignment="0" applyProtection="0">
      <alignment vertical="center"/>
    </xf>
    <xf numFmtId="0" fontId="84" fillId="47" borderId="0" applyNumberFormat="0" applyBorder="0" applyAlignment="0" applyProtection="0">
      <alignment vertical="center"/>
    </xf>
    <xf numFmtId="0" fontId="83" fillId="44" borderId="0" applyNumberFormat="0" applyBorder="0" applyAlignment="0" applyProtection="0">
      <alignment vertical="center"/>
    </xf>
    <xf numFmtId="0" fontId="84" fillId="44" borderId="0" applyNumberFormat="0" applyBorder="0" applyAlignment="0" applyProtection="0">
      <alignment vertical="center"/>
    </xf>
    <xf numFmtId="0" fontId="83" fillId="45" borderId="0" applyNumberFormat="0" applyBorder="0" applyAlignment="0" applyProtection="0">
      <alignment vertical="center"/>
    </xf>
    <xf numFmtId="0" fontId="84" fillId="45"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0" borderId="0" applyNumberFormat="0" applyBorder="0" applyAlignment="0" applyProtection="0">
      <alignment vertical="center"/>
    </xf>
    <xf numFmtId="0" fontId="84" fillId="50" borderId="0" applyNumberFormat="0" applyBorder="0" applyAlignment="0" applyProtection="0">
      <alignment vertical="center"/>
    </xf>
    <xf numFmtId="0" fontId="83" fillId="51" borderId="0" applyNumberFormat="0" applyBorder="0" applyAlignment="0" applyProtection="0">
      <alignment vertical="center"/>
    </xf>
    <xf numFmtId="0" fontId="84" fillId="51" borderId="0" applyNumberFormat="0" applyBorder="0" applyAlignment="0" applyProtection="0">
      <alignment vertical="center"/>
    </xf>
    <xf numFmtId="0" fontId="83" fillId="52" borderId="0" applyNumberFormat="0" applyBorder="0" applyAlignment="0" applyProtection="0">
      <alignment vertical="center"/>
    </xf>
    <xf numFmtId="0" fontId="84" fillId="52" borderId="0" applyNumberFormat="0" applyBorder="0" applyAlignment="0" applyProtection="0">
      <alignment vertical="center"/>
    </xf>
    <xf numFmtId="0" fontId="83" fillId="53" borderId="0" applyNumberFormat="0" applyBorder="0" applyAlignment="0" applyProtection="0">
      <alignment vertical="center"/>
    </xf>
    <xf numFmtId="0" fontId="84" fillId="53" borderId="0" applyNumberFormat="0" applyBorder="0" applyAlignment="0" applyProtection="0">
      <alignment vertical="center"/>
    </xf>
    <xf numFmtId="0" fontId="83" fillId="48" borderId="0" applyNumberFormat="0" applyBorder="0" applyAlignment="0" applyProtection="0">
      <alignment vertical="center"/>
    </xf>
    <xf numFmtId="0" fontId="84" fillId="48" borderId="0" applyNumberFormat="0" applyBorder="0" applyAlignment="0" applyProtection="0">
      <alignment vertical="center"/>
    </xf>
    <xf numFmtId="0" fontId="83" fillId="49" borderId="0" applyNumberFormat="0" applyBorder="0" applyAlignment="0" applyProtection="0">
      <alignment vertical="center"/>
    </xf>
    <xf numFmtId="0" fontId="84" fillId="49" borderId="0" applyNumberFormat="0" applyBorder="0" applyAlignment="0" applyProtection="0">
      <alignment vertical="center"/>
    </xf>
    <xf numFmtId="0" fontId="83" fillId="54" borderId="0" applyNumberFormat="0" applyBorder="0" applyAlignment="0" applyProtection="0">
      <alignment vertical="center"/>
    </xf>
    <xf numFmtId="0" fontId="84" fillId="54" borderId="0" applyNumberFormat="0" applyBorder="0" applyAlignment="0" applyProtection="0">
      <alignment vertical="center"/>
    </xf>
    <xf numFmtId="0" fontId="85" fillId="0" borderId="0" applyNumberFormat="0" applyFill="0" applyBorder="0" applyAlignment="0" applyProtection="0">
      <alignment vertical="center"/>
    </xf>
    <xf numFmtId="0" fontId="86" fillId="55" borderId="219" applyNumberFormat="0" applyAlignment="0" applyProtection="0">
      <alignment vertical="center"/>
    </xf>
    <xf numFmtId="0" fontId="87" fillId="55" borderId="219" applyNumberFormat="0" applyAlignment="0" applyProtection="0">
      <alignment vertical="center"/>
    </xf>
    <xf numFmtId="0" fontId="88" fillId="56" borderId="0" applyNumberFormat="0" applyBorder="0" applyAlignment="0" applyProtection="0">
      <alignment vertical="center"/>
    </xf>
    <xf numFmtId="0" fontId="89" fillId="56" borderId="0" applyNumberFormat="0" applyBorder="0" applyAlignment="0" applyProtection="0">
      <alignment vertical="center"/>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0" fillId="0" borderId="221" applyNumberFormat="0" applyFill="0" applyAlignment="0" applyProtection="0">
      <alignment vertical="center"/>
    </xf>
    <xf numFmtId="0" fontId="91" fillId="0" borderId="221" applyNumberFormat="0" applyFill="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3" fillId="38" borderId="0" applyNumberFormat="0" applyBorder="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223" applyNumberFormat="0" applyFill="0" applyAlignment="0" applyProtection="0">
      <alignment vertical="center"/>
    </xf>
    <xf numFmtId="0" fontId="71" fillId="0" borderId="223" applyNumberFormat="0" applyFill="0" applyAlignment="0" applyProtection="0">
      <alignment vertical="center"/>
    </xf>
    <xf numFmtId="0" fontId="99" fillId="0" borderId="224" applyNumberFormat="0" applyFill="0" applyAlignment="0" applyProtection="0">
      <alignment vertical="center"/>
    </xf>
    <xf numFmtId="0" fontId="100" fillId="0" borderId="224" applyNumberFormat="0" applyFill="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42" borderId="222" applyNumberFormat="0" applyAlignment="0" applyProtection="0">
      <alignment vertical="center"/>
    </xf>
    <xf numFmtId="0" fontId="110" fillId="42" borderId="222"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1" fillId="39" borderId="0" applyNumberFormat="0" applyBorder="0" applyAlignment="0" applyProtection="0">
      <alignment vertical="center"/>
    </xf>
    <xf numFmtId="0" fontId="112" fillId="39" borderId="0" applyNumberFormat="0" applyBorder="0" applyAlignment="0" applyProtection="0">
      <alignment vertical="center"/>
    </xf>
    <xf numFmtId="0" fontId="12" fillId="0" borderId="0">
      <alignment vertical="center"/>
    </xf>
    <xf numFmtId="0" fontId="125" fillId="0" borderId="0"/>
    <xf numFmtId="0" fontId="126" fillId="0" borderId="0" applyNumberFormat="0" applyFill="0" applyBorder="0" applyAlignment="0" applyProtection="0">
      <alignment vertical="top"/>
      <protection locked="0"/>
    </xf>
    <xf numFmtId="0" fontId="82" fillId="57" borderId="220" applyNumberFormat="0" applyFont="0" applyAlignment="0" applyProtection="0">
      <alignment vertical="center"/>
    </xf>
    <xf numFmtId="0" fontId="56" fillId="57" borderId="220" applyNumberFormat="0" applyFont="0" applyAlignment="0" applyProtection="0">
      <alignment vertical="center"/>
    </xf>
    <xf numFmtId="0" fontId="94" fillId="58" borderId="222" applyNumberFormat="0" applyAlignment="0" applyProtection="0">
      <alignment vertical="center"/>
    </xf>
    <xf numFmtId="0" fontId="95" fillId="58" borderId="222" applyNumberFormat="0" applyAlignment="0" applyProtection="0">
      <alignment vertical="center"/>
    </xf>
    <xf numFmtId="0" fontId="101" fillId="0" borderId="225" applyNumberFormat="0" applyFill="0" applyAlignment="0" applyProtection="0">
      <alignment vertical="center"/>
    </xf>
    <xf numFmtId="0" fontId="102" fillId="0" borderId="225" applyNumberFormat="0" applyFill="0" applyAlignment="0" applyProtection="0">
      <alignment vertical="center"/>
    </xf>
    <xf numFmtId="0" fontId="103" fillId="0" borderId="226" applyNumberFormat="0" applyFill="0" applyAlignment="0" applyProtection="0">
      <alignment vertical="center"/>
    </xf>
    <xf numFmtId="0" fontId="104" fillId="0" borderId="226" applyNumberFormat="0" applyFill="0" applyAlignment="0" applyProtection="0">
      <alignment vertical="center"/>
    </xf>
    <xf numFmtId="0" fontId="105" fillId="58" borderId="227" applyNumberFormat="0" applyAlignment="0" applyProtection="0">
      <alignment vertical="center"/>
    </xf>
    <xf numFmtId="0" fontId="106" fillId="58" borderId="227" applyNumberFormat="0" applyAlignment="0" applyProtection="0">
      <alignment vertical="center"/>
    </xf>
    <xf numFmtId="0" fontId="127" fillId="0" borderId="0"/>
    <xf numFmtId="0" fontId="109" fillId="42" borderId="222" applyNumberFormat="0" applyAlignment="0" applyProtection="0">
      <alignment vertical="center"/>
    </xf>
    <xf numFmtId="0" fontId="110" fillId="42" borderId="222" applyNumberFormat="0" applyAlignment="0" applyProtection="0">
      <alignment vertical="center"/>
    </xf>
    <xf numFmtId="0" fontId="128" fillId="0" borderId="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xf numFmtId="0" fontId="82" fillId="57" borderId="297" applyNumberFormat="0" applyFont="0" applyAlignment="0" applyProtection="0">
      <alignment vertical="center"/>
    </xf>
    <xf numFmtId="0" fontId="56" fillId="57" borderId="297" applyNumberFormat="0" applyFont="0" applyAlignment="0" applyProtection="0">
      <alignment vertical="center"/>
    </xf>
    <xf numFmtId="0" fontId="94" fillId="58" borderId="298" applyNumberFormat="0" applyAlignment="0" applyProtection="0">
      <alignment vertical="center"/>
    </xf>
    <xf numFmtId="0" fontId="95" fillId="58" borderId="298" applyNumberFormat="0" applyAlignment="0" applyProtection="0">
      <alignment vertical="center"/>
    </xf>
    <xf numFmtId="0" fontId="103" fillId="0" borderId="299" applyNumberFormat="0" applyFill="0" applyAlignment="0" applyProtection="0">
      <alignment vertical="center"/>
    </xf>
    <xf numFmtId="0" fontId="104" fillId="0" borderId="299" applyNumberFormat="0" applyFill="0" applyAlignment="0" applyProtection="0">
      <alignment vertical="center"/>
    </xf>
    <xf numFmtId="0" fontId="105" fillId="58" borderId="300" applyNumberFormat="0" applyAlignment="0" applyProtection="0">
      <alignment vertical="center"/>
    </xf>
    <xf numFmtId="0" fontId="106" fillId="58" borderId="300" applyNumberFormat="0" applyAlignment="0" applyProtection="0">
      <alignment vertical="center"/>
    </xf>
    <xf numFmtId="0" fontId="109" fillId="42" borderId="298" applyNumberFormat="0" applyAlignment="0" applyProtection="0">
      <alignment vertical="center"/>
    </xf>
    <xf numFmtId="0" fontId="110" fillId="42" borderId="298" applyNumberFormat="0" applyAlignment="0" applyProtection="0">
      <alignment vertical="center"/>
    </xf>
  </cellStyleXfs>
  <cellXfs count="2992">
    <xf numFmtId="0" fontId="0" fillId="0" borderId="0" xfId="0">
      <alignment vertical="center"/>
    </xf>
    <xf numFmtId="0" fontId="10" fillId="0" borderId="0" xfId="2" applyFont="1"/>
    <xf numFmtId="0" fontId="15" fillId="0" borderId="0" xfId="4" applyFont="1" applyProtection="1">
      <alignment vertical="center"/>
      <protection hidden="1"/>
    </xf>
    <xf numFmtId="0" fontId="15" fillId="5" borderId="0" xfId="4" applyFont="1" applyFill="1" applyProtection="1">
      <alignment vertical="center"/>
      <protection hidden="1"/>
    </xf>
    <xf numFmtId="0" fontId="16" fillId="0" borderId="0" xfId="4" applyFont="1" applyProtection="1">
      <alignment vertical="center"/>
      <protection hidden="1"/>
    </xf>
    <xf numFmtId="0" fontId="17" fillId="0" borderId="0" xfId="2" applyFont="1"/>
    <xf numFmtId="49" fontId="18" fillId="0" borderId="0" xfId="4" applyNumberFormat="1" applyFont="1" applyAlignment="1">
      <alignment horizontal="left" vertical="center"/>
    </xf>
    <xf numFmtId="0" fontId="17" fillId="3" borderId="6" xfId="2" applyFont="1" applyFill="1" applyBorder="1"/>
    <xf numFmtId="0" fontId="17" fillId="0" borderId="6" xfId="2" applyFont="1" applyBorder="1"/>
    <xf numFmtId="0" fontId="15" fillId="0" borderId="0" xfId="6" applyNumberFormat="1" applyFont="1" applyFill="1" applyBorder="1" applyProtection="1">
      <alignment vertical="center"/>
      <protection hidden="1"/>
    </xf>
    <xf numFmtId="0" fontId="5" fillId="0" borderId="0" xfId="4" applyFont="1" applyProtection="1">
      <alignment vertical="center"/>
      <protection hidden="1"/>
    </xf>
    <xf numFmtId="0" fontId="15" fillId="0" borderId="0" xfId="4" applyFont="1" applyProtection="1">
      <alignment vertical="center"/>
      <protection locked="0" hidden="1"/>
    </xf>
    <xf numFmtId="0" fontId="5" fillId="9" borderId="0" xfId="4" applyFont="1" applyFill="1" applyProtection="1">
      <alignment vertical="center"/>
      <protection hidden="1"/>
    </xf>
    <xf numFmtId="0" fontId="5" fillId="5" borderId="0" xfId="4" applyFont="1" applyFill="1" applyProtection="1">
      <alignment vertical="center"/>
      <protection hidden="1"/>
    </xf>
    <xf numFmtId="0" fontId="9" fillId="2" borderId="6" xfId="4" applyFont="1" applyFill="1" applyBorder="1" applyAlignment="1" applyProtection="1">
      <alignment vertical="center" shrinkToFit="1"/>
      <protection hidden="1"/>
    </xf>
    <xf numFmtId="0" fontId="5" fillId="5" borderId="6" xfId="4" applyFont="1" applyFill="1" applyBorder="1" applyProtection="1">
      <alignment vertical="center"/>
      <protection locked="0" hidden="1"/>
    </xf>
    <xf numFmtId="0" fontId="5" fillId="6" borderId="0" xfId="4" applyFont="1" applyFill="1" applyProtection="1">
      <alignment vertical="center"/>
      <protection hidden="1"/>
    </xf>
    <xf numFmtId="0" fontId="5" fillId="5" borderId="6" xfId="4" applyFont="1" applyFill="1" applyBorder="1" applyProtection="1">
      <alignment vertical="center"/>
      <protection hidden="1"/>
    </xf>
    <xf numFmtId="0" fontId="15" fillId="0" borderId="0" xfId="4" applyFont="1" applyAlignment="1" applyProtection="1">
      <alignment vertical="center" shrinkToFit="1"/>
      <protection hidden="1"/>
    </xf>
    <xf numFmtId="0" fontId="15" fillId="0" borderId="0" xfId="4" applyFont="1" applyAlignment="1" applyProtection="1">
      <alignment vertical="center" shrinkToFit="1"/>
      <protection locked="0"/>
    </xf>
    <xf numFmtId="0" fontId="15" fillId="0" borderId="0" xfId="4" applyFont="1" applyProtection="1">
      <alignment vertical="center"/>
      <protection locked="0"/>
    </xf>
    <xf numFmtId="0" fontId="16" fillId="11" borderId="0" xfId="4" applyFont="1" applyFill="1" applyProtection="1">
      <alignment vertical="center"/>
      <protection hidden="1"/>
    </xf>
    <xf numFmtId="0" fontId="15" fillId="11" borderId="0" xfId="4" applyFont="1" applyFill="1" applyProtection="1">
      <alignment vertical="center"/>
      <protection hidden="1"/>
    </xf>
    <xf numFmtId="0" fontId="15" fillId="12" borderId="0" xfId="4" applyFont="1" applyFill="1" applyAlignment="1" applyProtection="1">
      <alignment vertical="center" shrinkToFit="1"/>
      <protection hidden="1"/>
    </xf>
    <xf numFmtId="0" fontId="15" fillId="12" borderId="0" xfId="7" applyNumberFormat="1" applyFont="1" applyFill="1" applyBorder="1" applyAlignment="1" applyProtection="1">
      <alignment vertical="center" shrinkToFit="1"/>
      <protection hidden="1"/>
    </xf>
    <xf numFmtId="0" fontId="15" fillId="11" borderId="0" xfId="4" applyFont="1" applyFill="1" applyAlignment="1" applyProtection="1">
      <alignment vertical="center" shrinkToFit="1"/>
      <protection hidden="1"/>
    </xf>
    <xf numFmtId="0" fontId="15" fillId="11" borderId="0" xfId="4" applyFont="1" applyFill="1" applyAlignment="1" applyProtection="1">
      <alignment vertical="center" shrinkToFit="1"/>
      <protection locked="0"/>
    </xf>
    <xf numFmtId="0" fontId="15" fillId="12" borderId="0" xfId="4" applyFont="1" applyFill="1" applyAlignment="1" applyProtection="1">
      <alignment horizontal="center" vertical="center" shrinkToFit="1"/>
      <protection hidden="1"/>
    </xf>
    <xf numFmtId="0" fontId="15" fillId="11" borderId="0" xfId="4" applyFont="1" applyFill="1" applyProtection="1">
      <alignment vertical="center"/>
      <protection locked="0"/>
    </xf>
    <xf numFmtId="0" fontId="15" fillId="0" borderId="0" xfId="7" applyNumberFormat="1" applyFont="1" applyFill="1" applyBorder="1" applyAlignment="1" applyProtection="1">
      <alignment vertical="center" shrinkToFit="1"/>
      <protection hidden="1"/>
    </xf>
    <xf numFmtId="0" fontId="15" fillId="0" borderId="0" xfId="4" applyFont="1" applyAlignment="1" applyProtection="1">
      <alignment horizontal="center" vertical="center" shrinkToFit="1"/>
      <protection hidden="1"/>
    </xf>
    <xf numFmtId="49" fontId="20" fillId="0" borderId="0" xfId="4" applyNumberFormat="1" applyFont="1">
      <alignment vertical="center"/>
    </xf>
    <xf numFmtId="0" fontId="20" fillId="0" borderId="0" xfId="4" applyFont="1" applyProtection="1">
      <alignment vertical="center"/>
      <protection hidden="1"/>
    </xf>
    <xf numFmtId="49" fontId="20" fillId="0" borderId="0" xfId="4" applyNumberFormat="1" applyFont="1" applyAlignment="1">
      <alignment horizontal="left" vertical="center"/>
    </xf>
    <xf numFmtId="0" fontId="17" fillId="13" borderId="6" xfId="2" applyFont="1" applyFill="1" applyBorder="1"/>
    <xf numFmtId="49" fontId="18" fillId="0" borderId="0" xfId="4" applyNumberFormat="1" applyFont="1">
      <alignment vertical="center"/>
    </xf>
    <xf numFmtId="49" fontId="17" fillId="0" borderId="6" xfId="4" quotePrefix="1" applyNumberFormat="1" applyFont="1" applyBorder="1">
      <alignment vertical="center"/>
    </xf>
    <xf numFmtId="49" fontId="17" fillId="0" borderId="6" xfId="4" quotePrefix="1" applyNumberFormat="1" applyFont="1" applyBorder="1" applyAlignment="1">
      <alignment horizontal="left" vertical="center"/>
    </xf>
    <xf numFmtId="49" fontId="17" fillId="0" borderId="6" xfId="4" applyNumberFormat="1" applyFont="1" applyBorder="1">
      <alignment vertical="center"/>
    </xf>
    <xf numFmtId="49" fontId="17" fillId="0" borderId="6" xfId="4" applyNumberFormat="1" applyFont="1" applyBorder="1" applyAlignment="1">
      <alignment horizontal="left" vertical="center"/>
    </xf>
    <xf numFmtId="49" fontId="17" fillId="13" borderId="6" xfId="4" applyNumberFormat="1" applyFont="1" applyFill="1" applyBorder="1">
      <alignment vertical="center"/>
    </xf>
    <xf numFmtId="49" fontId="17" fillId="13" borderId="6" xfId="4" applyNumberFormat="1" applyFont="1" applyFill="1" applyBorder="1" applyAlignment="1">
      <alignment horizontal="left" vertical="center"/>
    </xf>
    <xf numFmtId="0" fontId="23" fillId="0" borderId="0" xfId="2" applyFont="1" applyAlignment="1">
      <alignment vertical="center"/>
    </xf>
    <xf numFmtId="49" fontId="15" fillId="0" borderId="0" xfId="4" applyNumberFormat="1" applyFont="1" applyProtection="1">
      <alignment vertical="center"/>
      <protection hidden="1"/>
    </xf>
    <xf numFmtId="0" fontId="19" fillId="0" borderId="0" xfId="2" applyFont="1"/>
    <xf numFmtId="0" fontId="23" fillId="0" borderId="0" xfId="2" applyFont="1"/>
    <xf numFmtId="0" fontId="19" fillId="3" borderId="6" xfId="2" applyFont="1" applyFill="1" applyBorder="1" applyAlignment="1">
      <alignment vertical="center"/>
    </xf>
    <xf numFmtId="0" fontId="5" fillId="3" borderId="6" xfId="3" applyFont="1" applyFill="1" applyBorder="1">
      <alignment vertical="center"/>
    </xf>
    <xf numFmtId="0" fontId="19" fillId="3" borderId="6" xfId="2" applyFont="1" applyFill="1" applyBorder="1"/>
    <xf numFmtId="0" fontId="19" fillId="0" borderId="6" xfId="2" applyFont="1" applyBorder="1" applyAlignment="1">
      <alignment vertical="center"/>
    </xf>
    <xf numFmtId="0" fontId="5" fillId="4" borderId="6" xfId="4" applyFont="1" applyFill="1" applyBorder="1" applyProtection="1">
      <alignment vertical="center"/>
      <protection hidden="1"/>
    </xf>
    <xf numFmtId="0" fontId="15" fillId="4" borderId="6" xfId="4" applyFont="1" applyFill="1" applyBorder="1" applyProtection="1">
      <alignment vertical="center"/>
      <protection hidden="1"/>
    </xf>
    <xf numFmtId="0" fontId="19" fillId="0" borderId="6" xfId="2" applyFont="1" applyBorder="1"/>
    <xf numFmtId="0" fontId="19" fillId="4" borderId="6" xfId="2" applyFont="1" applyFill="1" applyBorder="1"/>
    <xf numFmtId="0" fontId="23" fillId="4" borderId="6" xfId="2" applyFont="1" applyFill="1" applyBorder="1"/>
    <xf numFmtId="0" fontId="19" fillId="14" borderId="6" xfId="2" applyFont="1" applyFill="1" applyBorder="1" applyAlignment="1">
      <alignment vertical="center"/>
    </xf>
    <xf numFmtId="49" fontId="5" fillId="14" borderId="6" xfId="4" applyNumberFormat="1" applyFont="1" applyFill="1" applyBorder="1" applyProtection="1">
      <alignment vertical="center"/>
      <protection hidden="1"/>
    </xf>
    <xf numFmtId="0" fontId="24" fillId="0" borderId="6" xfId="2" applyFont="1" applyBorder="1" applyAlignment="1">
      <alignment horizontal="left" vertical="center"/>
    </xf>
    <xf numFmtId="0" fontId="19" fillId="0" borderId="6" xfId="2" applyFont="1" applyBorder="1" applyAlignment="1">
      <alignment horizontal="left" vertical="center"/>
    </xf>
    <xf numFmtId="0" fontId="19" fillId="0" borderId="0" xfId="2" applyFont="1" applyAlignment="1">
      <alignment vertical="center"/>
    </xf>
    <xf numFmtId="177" fontId="5" fillId="4" borderId="6" xfId="4" applyNumberFormat="1" applyFont="1" applyFill="1" applyBorder="1" applyProtection="1">
      <alignment vertical="center"/>
      <protection hidden="1"/>
    </xf>
    <xf numFmtId="177" fontId="15" fillId="4" borderId="6" xfId="4" applyNumberFormat="1" applyFont="1" applyFill="1" applyBorder="1" applyProtection="1">
      <alignment vertical="center"/>
      <protection hidden="1"/>
    </xf>
    <xf numFmtId="0" fontId="24" fillId="0" borderId="6" xfId="2" applyFont="1" applyBorder="1" applyAlignment="1">
      <alignment vertical="center"/>
    </xf>
    <xf numFmtId="49" fontId="23" fillId="0" borderId="0" xfId="2" applyNumberFormat="1" applyFont="1" applyAlignment="1">
      <alignment vertical="center"/>
    </xf>
    <xf numFmtId="0" fontId="20" fillId="0" borderId="0" xfId="2" applyFont="1"/>
    <xf numFmtId="0" fontId="20" fillId="0" borderId="0" xfId="2" applyFont="1" applyAlignment="1">
      <alignment vertical="center"/>
    </xf>
    <xf numFmtId="49" fontId="17" fillId="0" borderId="0" xfId="2" applyNumberFormat="1" applyFont="1" applyAlignment="1">
      <alignment horizontal="left"/>
    </xf>
    <xf numFmtId="0" fontId="17" fillId="0" borderId="0" xfId="2" applyFont="1" applyAlignment="1">
      <alignment horizontal="left"/>
    </xf>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4" borderId="6" xfId="2" applyFont="1" applyFill="1" applyBorder="1"/>
    <xf numFmtId="0" fontId="20" fillId="4" borderId="6" xfId="2" applyFont="1" applyFill="1" applyBorder="1"/>
    <xf numFmtId="0" fontId="25" fillId="0" borderId="6" xfId="0" applyFont="1" applyBorder="1" applyAlignment="1">
      <alignment horizontal="left" vertical="center" readingOrder="1"/>
    </xf>
    <xf numFmtId="0" fontId="18" fillId="0" borderId="6" xfId="0" applyFont="1" applyBorder="1">
      <alignment vertical="center"/>
    </xf>
    <xf numFmtId="0" fontId="17" fillId="0" borderId="6" xfId="2" applyFont="1" applyBorder="1" applyAlignment="1">
      <alignment horizontal="left" vertical="center" wrapText="1"/>
    </xf>
    <xf numFmtId="0" fontId="17" fillId="4" borderId="6" xfId="0" applyFont="1" applyFill="1" applyBorder="1" applyAlignment="1">
      <alignment horizontal="left" vertical="center"/>
    </xf>
    <xf numFmtId="49" fontId="17" fillId="4" borderId="6" xfId="2" applyNumberFormat="1" applyFont="1" applyFill="1" applyBorder="1" applyAlignment="1">
      <alignment horizontal="left"/>
    </xf>
    <xf numFmtId="49" fontId="17" fillId="4" borderId="6" xfId="4" applyNumberFormat="1" applyFont="1" applyFill="1" applyBorder="1" applyAlignment="1" applyProtection="1">
      <alignment horizontal="left" vertical="center"/>
      <protection hidden="1"/>
    </xf>
    <xf numFmtId="49" fontId="20" fillId="0" borderId="0" xfId="4" applyNumberFormat="1" applyFont="1" applyAlignment="1" applyProtection="1">
      <alignment horizontal="left" vertical="center"/>
      <protection hidden="1"/>
    </xf>
    <xf numFmtId="0" fontId="20" fillId="0" borderId="0" xfId="4" applyFont="1" applyAlignment="1" applyProtection="1">
      <alignment horizontal="left" vertical="center"/>
      <protection hidden="1"/>
    </xf>
    <xf numFmtId="49" fontId="17" fillId="13" borderId="6" xfId="2" applyNumberFormat="1" applyFont="1" applyFill="1" applyBorder="1"/>
    <xf numFmtId="49" fontId="5" fillId="0" borderId="0" xfId="4" applyNumberFormat="1" applyFont="1" applyProtection="1">
      <alignment vertical="center"/>
      <protection hidden="1"/>
    </xf>
    <xf numFmtId="0" fontId="5" fillId="0" borderId="6" xfId="4" applyFont="1" applyBorder="1" applyProtection="1">
      <alignment vertical="center"/>
      <protection hidden="1"/>
    </xf>
    <xf numFmtId="49" fontId="5" fillId="0" borderId="6" xfId="4" applyNumberFormat="1" applyFont="1" applyBorder="1" applyProtection="1">
      <alignment vertical="center"/>
      <protection hidden="1"/>
    </xf>
    <xf numFmtId="0" fontId="7" fillId="0" borderId="0" xfId="3" applyFont="1">
      <alignment vertical="center"/>
    </xf>
    <xf numFmtId="0" fontId="15" fillId="6" borderId="0" xfId="4" applyFont="1" applyFill="1" applyProtection="1">
      <alignment vertical="center"/>
      <protection locked="0"/>
    </xf>
    <xf numFmtId="49" fontId="0" fillId="0" borderId="0" xfId="0" applyNumberFormat="1">
      <alignment vertical="center"/>
    </xf>
    <xf numFmtId="49" fontId="15" fillId="0" borderId="0" xfId="4" applyNumberFormat="1" applyFont="1" applyProtection="1">
      <alignment vertical="center"/>
      <protection locked="0"/>
    </xf>
    <xf numFmtId="49" fontId="16" fillId="0" borderId="0" xfId="4" applyNumberFormat="1" applyFont="1" applyProtection="1">
      <alignment vertical="center"/>
      <protection locked="0"/>
    </xf>
    <xf numFmtId="0" fontId="15" fillId="0" borderId="0" xfId="6" applyNumberFormat="1" applyFont="1" applyFill="1" applyBorder="1" applyProtection="1">
      <alignment vertical="center"/>
      <protection locked="0"/>
    </xf>
    <xf numFmtId="0" fontId="5" fillId="6" borderId="0" xfId="4" applyFont="1" applyFill="1" applyProtection="1">
      <alignment vertical="center"/>
      <protection locked="0"/>
    </xf>
    <xf numFmtId="0" fontId="5" fillId="5" borderId="6" xfId="4" applyFont="1" applyFill="1" applyBorder="1" applyProtection="1">
      <alignment vertical="center"/>
      <protection locked="0"/>
    </xf>
    <xf numFmtId="0" fontId="9" fillId="2" borderId="6" xfId="4" applyFont="1" applyFill="1" applyBorder="1" applyAlignment="1" applyProtection="1">
      <alignment horizontal="right" vertical="center" shrinkToFit="1"/>
      <protection hidden="1"/>
    </xf>
    <xf numFmtId="0" fontId="17" fillId="8" borderId="6" xfId="2" applyFont="1" applyFill="1" applyBorder="1"/>
    <xf numFmtId="0" fontId="18" fillId="13" borderId="6" xfId="4" applyFont="1" applyFill="1" applyBorder="1">
      <alignment vertical="center"/>
    </xf>
    <xf numFmtId="0" fontId="20" fillId="13" borderId="6" xfId="2" applyFont="1" applyFill="1" applyBorder="1"/>
    <xf numFmtId="49" fontId="12" fillId="15" borderId="0" xfId="0" applyNumberFormat="1" applyFont="1" applyFill="1">
      <alignment vertical="center"/>
    </xf>
    <xf numFmtId="0" fontId="0" fillId="15" borderId="0" xfId="0" applyFill="1">
      <alignment vertical="center"/>
    </xf>
    <xf numFmtId="49" fontId="17" fillId="8" borderId="6" xfId="4" quotePrefix="1" applyNumberFormat="1" applyFont="1" applyFill="1" applyBorder="1">
      <alignment vertical="center"/>
    </xf>
    <xf numFmtId="49" fontId="17" fillId="8" borderId="6" xfId="4" quotePrefix="1" applyNumberFormat="1" applyFont="1" applyFill="1" applyBorder="1" applyAlignment="1">
      <alignment horizontal="left" vertical="center"/>
    </xf>
    <xf numFmtId="49" fontId="17" fillId="4" borderId="6" xfId="2" applyNumberFormat="1" applyFont="1" applyFill="1" applyBorder="1"/>
    <xf numFmtId="49" fontId="17" fillId="13" borderId="6" xfId="2" applyNumberFormat="1" applyFont="1" applyFill="1" applyBorder="1" applyAlignment="1">
      <alignment horizontal="left"/>
    </xf>
    <xf numFmtId="0" fontId="17" fillId="13" borderId="6" xfId="4" applyFont="1" applyFill="1" applyBorder="1">
      <alignment vertical="center"/>
    </xf>
    <xf numFmtId="0" fontId="20" fillId="4" borderId="6" xfId="2" applyFont="1" applyFill="1" applyBorder="1" applyAlignment="1">
      <alignment horizontal="right"/>
    </xf>
    <xf numFmtId="0" fontId="17" fillId="0" borderId="6" xfId="0" applyFont="1" applyBorder="1">
      <alignment vertical="center"/>
    </xf>
    <xf numFmtId="49" fontId="5" fillId="4" borderId="6" xfId="4" applyNumberFormat="1" applyFont="1" applyFill="1" applyBorder="1" applyProtection="1">
      <alignment vertical="center"/>
      <protection hidden="1"/>
    </xf>
    <xf numFmtId="0" fontId="5" fillId="17" borderId="6" xfId="4" applyFont="1" applyFill="1" applyBorder="1" applyProtection="1">
      <alignment vertical="center"/>
      <protection locked="0"/>
    </xf>
    <xf numFmtId="0" fontId="12" fillId="0" borderId="0" xfId="0" applyFont="1">
      <alignment vertical="center"/>
    </xf>
    <xf numFmtId="0" fontId="11" fillId="0" borderId="0" xfId="2" applyAlignment="1">
      <alignment vertical="center"/>
    </xf>
    <xf numFmtId="49" fontId="0" fillId="8" borderId="0" xfId="0" applyNumberFormat="1" applyFill="1">
      <alignment vertical="center"/>
    </xf>
    <xf numFmtId="0" fontId="29" fillId="0" borderId="0" xfId="4" applyFont="1">
      <alignment vertical="center"/>
    </xf>
    <xf numFmtId="0" fontId="30" fillId="0" borderId="0" xfId="4" applyFont="1">
      <alignment vertical="center"/>
    </xf>
    <xf numFmtId="0" fontId="28" fillId="0" borderId="0" xfId="4" applyFont="1">
      <alignment vertical="center"/>
    </xf>
    <xf numFmtId="0" fontId="31" fillId="0" borderId="0" xfId="4" applyFont="1" applyProtection="1">
      <alignment vertical="center"/>
      <protection locked="0"/>
    </xf>
    <xf numFmtId="0" fontId="31" fillId="0" borderId="0" xfId="4" applyFont="1" applyProtection="1">
      <alignment vertical="center"/>
      <protection hidden="1"/>
    </xf>
    <xf numFmtId="0" fontId="28" fillId="0" borderId="0" xfId="4" applyFont="1" applyProtection="1">
      <alignment vertical="center"/>
      <protection hidden="1"/>
    </xf>
    <xf numFmtId="0" fontId="30" fillId="0" borderId="0" xfId="4" applyFont="1" applyProtection="1">
      <alignment vertical="center"/>
      <protection hidden="1"/>
    </xf>
    <xf numFmtId="0" fontId="29" fillId="0" borderId="15" xfId="4" applyFont="1" applyBorder="1">
      <alignment vertical="center"/>
    </xf>
    <xf numFmtId="0" fontId="30" fillId="0" borderId="15" xfId="4" applyFont="1" applyBorder="1" applyAlignment="1">
      <alignment horizontal="right" vertical="center"/>
    </xf>
    <xf numFmtId="0" fontId="31" fillId="0" borderId="16" xfId="5" applyNumberFormat="1" applyFont="1" applyFill="1" applyBorder="1" applyProtection="1">
      <alignment vertical="center"/>
    </xf>
    <xf numFmtId="0" fontId="32" fillId="0" borderId="0" xfId="4" applyFont="1" applyAlignment="1">
      <alignment horizontal="left" vertical="center"/>
    </xf>
    <xf numFmtId="0" fontId="31" fillId="0" borderId="18" xfId="4" applyFont="1" applyBorder="1">
      <alignment vertical="center"/>
    </xf>
    <xf numFmtId="0" fontId="31" fillId="0" borderId="0" xfId="4" applyFont="1" applyProtection="1">
      <alignment vertical="center"/>
      <protection locked="0" hidden="1"/>
    </xf>
    <xf numFmtId="0" fontId="34" fillId="0" borderId="31" xfId="4" applyFont="1" applyBorder="1">
      <alignment vertical="center"/>
    </xf>
    <xf numFmtId="0" fontId="34" fillId="0" borderId="40" xfId="4" applyFont="1" applyBorder="1">
      <alignment vertical="center"/>
    </xf>
    <xf numFmtId="0" fontId="34" fillId="0" borderId="0" xfId="4" applyFont="1">
      <alignment vertical="center"/>
    </xf>
    <xf numFmtId="0" fontId="30" fillId="0" borderId="1" xfId="4" applyFont="1" applyBorder="1" applyAlignment="1">
      <alignment horizontal="center" vertical="center" shrinkToFit="1"/>
    </xf>
    <xf numFmtId="0" fontId="30" fillId="0" borderId="1" xfId="4" applyFont="1" applyBorder="1" applyAlignment="1">
      <alignment vertical="center" shrinkToFit="1"/>
    </xf>
    <xf numFmtId="0" fontId="34" fillId="0" borderId="0" xfId="4" applyFont="1" applyAlignment="1">
      <alignment horizontal="center" vertical="center"/>
    </xf>
    <xf numFmtId="0" fontId="34" fillId="0" borderId="36" xfId="4" applyFont="1" applyBorder="1" applyAlignment="1">
      <alignment vertical="center" shrinkToFit="1"/>
    </xf>
    <xf numFmtId="0" fontId="34" fillId="0" borderId="37" xfId="4" applyFont="1" applyBorder="1" applyAlignment="1">
      <alignment vertical="center" shrinkToFit="1"/>
    </xf>
    <xf numFmtId="0" fontId="31" fillId="0" borderId="0" xfId="4" applyFont="1" applyAlignment="1" applyProtection="1">
      <alignment horizontal="left" vertical="center" wrapText="1"/>
      <protection hidden="1"/>
    </xf>
    <xf numFmtId="0" fontId="31" fillId="0" borderId="0" xfId="4" applyFont="1" applyAlignment="1" applyProtection="1">
      <alignment horizontal="left" vertical="center" wrapText="1"/>
      <protection locked="0"/>
    </xf>
    <xf numFmtId="0" fontId="34" fillId="0" borderId="0" xfId="4" applyFont="1" applyAlignment="1">
      <alignment horizontal="center" vertical="center" shrinkToFit="1"/>
    </xf>
    <xf numFmtId="0" fontId="37" fillId="0" borderId="31" xfId="4" applyFont="1" applyBorder="1">
      <alignment vertical="center"/>
    </xf>
    <xf numFmtId="0" fontId="30" fillId="0" borderId="31" xfId="4" applyFont="1" applyBorder="1" applyAlignment="1">
      <alignment vertical="center" wrapText="1"/>
    </xf>
    <xf numFmtId="0" fontId="31" fillId="0" borderId="17" xfId="4" applyFont="1" applyBorder="1" applyProtection="1">
      <alignment vertical="center"/>
      <protection locked="0"/>
    </xf>
    <xf numFmtId="0" fontId="31" fillId="0" borderId="18" xfId="5" applyNumberFormat="1" applyFont="1" applyFill="1" applyBorder="1" applyProtection="1">
      <alignment vertical="center"/>
    </xf>
    <xf numFmtId="0" fontId="29" fillId="0" borderId="102" xfId="4" applyFont="1" applyBorder="1">
      <alignment vertical="center"/>
    </xf>
    <xf numFmtId="0" fontId="31" fillId="0" borderId="103" xfId="5" applyNumberFormat="1" applyFont="1" applyFill="1" applyBorder="1" applyProtection="1">
      <alignment vertical="center"/>
    </xf>
    <xf numFmtId="0" fontId="41" fillId="0" borderId="0" xfId="4" applyFont="1">
      <alignment vertical="center"/>
    </xf>
    <xf numFmtId="0" fontId="28" fillId="0" borderId="0" xfId="5" applyNumberFormat="1" applyFont="1" applyFill="1" applyProtection="1">
      <alignment vertical="center"/>
    </xf>
    <xf numFmtId="0" fontId="29" fillId="0" borderId="0" xfId="4" applyFont="1" applyAlignment="1">
      <alignment vertical="center" shrinkToFit="1"/>
    </xf>
    <xf numFmtId="0" fontId="43" fillId="7" borderId="33" xfId="4" applyFont="1" applyFill="1" applyBorder="1" applyAlignment="1">
      <alignment vertical="center" wrapText="1"/>
    </xf>
    <xf numFmtId="0" fontId="43" fillId="7" borderId="35" xfId="4" applyFont="1" applyFill="1" applyBorder="1" applyAlignment="1">
      <alignment vertical="center" wrapText="1"/>
    </xf>
    <xf numFmtId="0" fontId="30" fillId="0" borderId="0" xfId="4" applyFont="1" applyAlignment="1">
      <alignment horizontal="left" vertical="center" wrapText="1"/>
    </xf>
    <xf numFmtId="0" fontId="34" fillId="0" borderId="0" xfId="5" applyNumberFormat="1" applyFont="1" applyFill="1" applyBorder="1" applyAlignment="1" applyProtection="1">
      <alignment horizontal="center" vertical="center" wrapText="1"/>
    </xf>
    <xf numFmtId="0" fontId="19" fillId="18" borderId="6" xfId="2" applyFont="1" applyFill="1" applyBorder="1" applyAlignment="1">
      <alignment vertical="center"/>
    </xf>
    <xf numFmtId="0" fontId="5" fillId="18" borderId="6" xfId="4" applyFont="1" applyFill="1" applyBorder="1" applyProtection="1">
      <alignment vertical="center"/>
      <protection hidden="1"/>
    </xf>
    <xf numFmtId="0" fontId="15" fillId="18" borderId="6" xfId="4" applyFont="1" applyFill="1" applyBorder="1" applyProtection="1">
      <alignment vertical="center"/>
      <protection hidden="1"/>
    </xf>
    <xf numFmtId="0" fontId="15" fillId="0" borderId="0" xfId="4" applyFont="1" applyAlignment="1" applyProtection="1">
      <alignment horizontal="left" vertical="center"/>
      <protection locked="0" hidden="1"/>
    </xf>
    <xf numFmtId="49" fontId="16" fillId="0" borderId="0" xfId="4" applyNumberFormat="1" applyFont="1" applyProtection="1">
      <alignment vertical="center"/>
      <protection hidden="1"/>
    </xf>
    <xf numFmtId="49" fontId="15" fillId="0" borderId="0" xfId="4" applyNumberFormat="1" applyFont="1" applyProtection="1">
      <alignment vertical="center"/>
      <protection locked="0" hidden="1"/>
    </xf>
    <xf numFmtId="0" fontId="29" fillId="0" borderId="72" xfId="4" applyFont="1" applyBorder="1">
      <alignment vertical="center"/>
    </xf>
    <xf numFmtId="0" fontId="29" fillId="0" borderId="0" xfId="4" applyFont="1" applyAlignment="1">
      <alignment horizontal="left" vertical="center" wrapText="1"/>
    </xf>
    <xf numFmtId="6" fontId="34" fillId="0" borderId="0" xfId="5" applyFont="1" applyBorder="1" applyAlignment="1" applyProtection="1">
      <alignment horizontal="right" vertical="center" shrinkToFit="1"/>
    </xf>
    <xf numFmtId="10" fontId="34" fillId="0" borderId="0" xfId="6" applyNumberFormat="1" applyFont="1" applyBorder="1" applyAlignment="1" applyProtection="1">
      <alignment horizontal="right" vertical="center" shrinkToFit="1"/>
    </xf>
    <xf numFmtId="6" fontId="34" fillId="0" borderId="0" xfId="5" applyFont="1" applyFill="1" applyBorder="1" applyAlignment="1" applyProtection="1">
      <alignment horizontal="right" vertical="center" shrinkToFit="1"/>
    </xf>
    <xf numFmtId="6" fontId="29" fillId="0" borderId="36" xfId="5" applyFont="1" applyBorder="1" applyAlignment="1" applyProtection="1">
      <alignment horizontal="right" vertical="center" shrinkToFit="1"/>
    </xf>
    <xf numFmtId="0" fontId="39" fillId="0" borderId="0" xfId="4" applyFont="1">
      <alignment vertical="center"/>
    </xf>
    <xf numFmtId="0" fontId="46" fillId="0" borderId="0" xfId="4" applyFont="1">
      <alignment vertical="center"/>
    </xf>
    <xf numFmtId="0" fontId="47" fillId="0" borderId="0" xfId="4" applyFont="1">
      <alignment vertical="center"/>
    </xf>
    <xf numFmtId="0" fontId="36" fillId="0" borderId="0" xfId="0" applyFont="1" applyAlignment="1">
      <alignment horizontal="left" vertical="center"/>
    </xf>
    <xf numFmtId="0" fontId="30" fillId="0" borderId="0" xfId="4" applyFont="1" applyAlignment="1">
      <alignment horizontal="right" vertical="center"/>
    </xf>
    <xf numFmtId="0" fontId="48" fillId="0" borderId="15" xfId="4" applyFont="1" applyBorder="1">
      <alignment vertical="center"/>
    </xf>
    <xf numFmtId="6" fontId="31" fillId="0" borderId="16" xfId="5" applyFont="1" applyFill="1" applyBorder="1" applyProtection="1">
      <alignment vertical="center"/>
    </xf>
    <xf numFmtId="6" fontId="31" fillId="0" borderId="18" xfId="5" applyFont="1" applyFill="1" applyBorder="1" applyProtection="1">
      <alignment vertical="center"/>
    </xf>
    <xf numFmtId="0" fontId="29" fillId="0" borderId="0" xfId="4" applyFont="1" applyAlignment="1">
      <alignment horizontal="right" vertical="center"/>
    </xf>
    <xf numFmtId="0" fontId="29" fillId="0" borderId="36" xfId="4" applyFont="1" applyBorder="1" applyAlignment="1">
      <alignment horizontal="left" vertical="center" wrapText="1"/>
    </xf>
    <xf numFmtId="0" fontId="29" fillId="0" borderId="36" xfId="4" applyFont="1" applyBorder="1" applyAlignment="1">
      <alignment horizontal="center" vertical="center"/>
    </xf>
    <xf numFmtId="0" fontId="31" fillId="0" borderId="18" xfId="5" applyNumberFormat="1" applyFont="1" applyFill="1" applyBorder="1" applyAlignment="1" applyProtection="1">
      <alignment vertical="center" wrapText="1"/>
    </xf>
    <xf numFmtId="0" fontId="50" fillId="0" borderId="0" xfId="4" applyFont="1" applyAlignment="1">
      <alignment horizontal="left" vertical="center" wrapText="1"/>
    </xf>
    <xf numFmtId="6" fontId="28" fillId="0" borderId="0" xfId="5" applyFont="1" applyFill="1" applyProtection="1">
      <alignment vertical="center"/>
    </xf>
    <xf numFmtId="0" fontId="29" fillId="2" borderId="35" xfId="4" applyFont="1" applyFill="1" applyBorder="1" applyAlignment="1">
      <alignment horizontal="center" vertical="center" shrinkToFit="1"/>
    </xf>
    <xf numFmtId="0" fontId="29" fillId="2" borderId="36" xfId="4" applyFont="1" applyFill="1" applyBorder="1" applyAlignment="1">
      <alignment horizontal="center" vertical="center" shrinkToFit="1"/>
    </xf>
    <xf numFmtId="176" fontId="34" fillId="0" borderId="127" xfId="4" applyNumberFormat="1" applyFont="1" applyBorder="1" applyAlignment="1">
      <alignment horizontal="center" vertical="center"/>
    </xf>
    <xf numFmtId="176" fontId="34" fillId="0" borderId="130" xfId="4" applyNumberFormat="1" applyFont="1" applyBorder="1">
      <alignment vertical="center"/>
    </xf>
    <xf numFmtId="0" fontId="35" fillId="0" borderId="0" xfId="4" applyFont="1" applyAlignment="1">
      <alignment horizontal="left" vertical="center"/>
    </xf>
    <xf numFmtId="0" fontId="52" fillId="0" borderId="0" xfId="4" applyFont="1">
      <alignment vertical="center"/>
    </xf>
    <xf numFmtId="0" fontId="52" fillId="0" borderId="14" xfId="4" applyFont="1" applyBorder="1">
      <alignment vertical="center"/>
    </xf>
    <xf numFmtId="0" fontId="52" fillId="0" borderId="17" xfId="4" applyFont="1" applyBorder="1">
      <alignment vertical="center"/>
    </xf>
    <xf numFmtId="0" fontId="52" fillId="0" borderId="101" xfId="4" applyFont="1" applyBorder="1">
      <alignment vertical="center"/>
    </xf>
    <xf numFmtId="0" fontId="53" fillId="0" borderId="0" xfId="4" applyFont="1">
      <alignment vertical="center"/>
    </xf>
    <xf numFmtId="0" fontId="29" fillId="0" borderId="0" xfId="4" applyFont="1" applyAlignment="1">
      <alignment horizontal="left" vertical="center" shrinkToFit="1"/>
    </xf>
    <xf numFmtId="0" fontId="29" fillId="0" borderId="0" xfId="4" applyFont="1" applyAlignment="1">
      <alignment horizontal="center" vertical="center"/>
    </xf>
    <xf numFmtId="0" fontId="34" fillId="0" borderId="0" xfId="4" applyFont="1" applyAlignment="1">
      <alignment horizontal="right" vertical="center"/>
    </xf>
    <xf numFmtId="0" fontId="53" fillId="0" borderId="17" xfId="4" applyFont="1" applyBorder="1">
      <alignment vertical="center"/>
    </xf>
    <xf numFmtId="0" fontId="34" fillId="0" borderId="3" xfId="4" applyFont="1" applyBorder="1" applyAlignment="1">
      <alignment horizontal="left" vertical="center" shrinkToFit="1"/>
    </xf>
    <xf numFmtId="0" fontId="34" fillId="0" borderId="1" xfId="4" applyFont="1" applyBorder="1" applyAlignment="1">
      <alignment horizontal="left" vertical="center" shrinkToFit="1"/>
    </xf>
    <xf numFmtId="0" fontId="30" fillId="0" borderId="0" xfId="4" applyFont="1" applyAlignment="1">
      <alignment horizontal="left" vertical="center"/>
    </xf>
    <xf numFmtId="0" fontId="30" fillId="0" borderId="1" xfId="4" applyFont="1" applyBorder="1">
      <alignment vertical="center"/>
    </xf>
    <xf numFmtId="0" fontId="34" fillId="0" borderId="1" xfId="4" applyFont="1" applyBorder="1" applyAlignment="1">
      <alignment horizontal="left" vertical="center"/>
    </xf>
    <xf numFmtId="0" fontId="34" fillId="0" borderId="12" xfId="4" applyFont="1" applyBorder="1" applyAlignment="1">
      <alignment horizontal="left" vertical="center"/>
    </xf>
    <xf numFmtId="0" fontId="30" fillId="0" borderId="1" xfId="4" applyFont="1" applyBorder="1" applyAlignment="1">
      <alignment horizontal="left" vertical="center"/>
    </xf>
    <xf numFmtId="0" fontId="29" fillId="0" borderId="1" xfId="4" applyFont="1" applyBorder="1" applyAlignment="1">
      <alignment horizontal="left" vertical="center"/>
    </xf>
    <xf numFmtId="0" fontId="30" fillId="0" borderId="2" xfId="4" applyFont="1" applyBorder="1">
      <alignment vertical="center"/>
    </xf>
    <xf numFmtId="0" fontId="55" fillId="0" borderId="0" xfId="4" applyFont="1" applyProtection="1">
      <alignment vertical="center"/>
      <protection locked="0"/>
    </xf>
    <xf numFmtId="0" fontId="34" fillId="0" borderId="12" xfId="4" applyFont="1" applyBorder="1" applyAlignment="1">
      <alignment vertical="center" wrapText="1"/>
    </xf>
    <xf numFmtId="0" fontId="34" fillId="0" borderId="61" xfId="4" applyFont="1" applyBorder="1" applyAlignment="1">
      <alignment vertical="center" wrapText="1"/>
    </xf>
    <xf numFmtId="0" fontId="30" fillId="0" borderId="36" xfId="10" applyNumberFormat="1" applyFont="1" applyFill="1" applyBorder="1" applyAlignment="1" applyProtection="1">
      <alignment vertical="center" shrinkToFit="1"/>
    </xf>
    <xf numFmtId="0" fontId="30" fillId="0" borderId="37" xfId="10" applyNumberFormat="1" applyFont="1" applyFill="1" applyBorder="1" applyAlignment="1" applyProtection="1">
      <alignment vertical="center" shrinkToFit="1"/>
    </xf>
    <xf numFmtId="0" fontId="54" fillId="22" borderId="0" xfId="14" applyNumberFormat="1" applyBorder="1" applyProtection="1">
      <alignment vertical="center"/>
      <protection hidden="1"/>
    </xf>
    <xf numFmtId="0" fontId="54" fillId="22" borderId="0" xfId="14" applyNumberFormat="1" applyBorder="1" applyProtection="1">
      <alignment vertical="center"/>
      <protection locked="0"/>
    </xf>
    <xf numFmtId="0" fontId="5" fillId="5" borderId="9" xfId="4" applyFont="1" applyFill="1" applyBorder="1" applyProtection="1">
      <alignment vertical="center"/>
      <protection locked="0"/>
    </xf>
    <xf numFmtId="0" fontId="5" fillId="5" borderId="9" xfId="4" applyFont="1" applyFill="1" applyBorder="1" applyProtection="1">
      <alignment vertical="center"/>
      <protection hidden="1"/>
    </xf>
    <xf numFmtId="0" fontId="5" fillId="5" borderId="9" xfId="4" applyFont="1" applyFill="1" applyBorder="1" applyProtection="1">
      <alignment vertical="center"/>
      <protection locked="0" hidden="1"/>
    </xf>
    <xf numFmtId="0" fontId="9" fillId="2" borderId="9" xfId="4" applyFont="1" applyFill="1" applyBorder="1" applyAlignment="1" applyProtection="1">
      <alignment vertical="center" shrinkToFit="1"/>
      <protection hidden="1"/>
    </xf>
    <xf numFmtId="0" fontId="9" fillId="0" borderId="9" xfId="4" applyFont="1" applyBorder="1" applyAlignment="1" applyProtection="1">
      <alignment vertical="center" shrinkToFit="1"/>
      <protection hidden="1"/>
    </xf>
    <xf numFmtId="49" fontId="15" fillId="9" borderId="6" xfId="4" applyNumberFormat="1" applyFont="1" applyFill="1" applyBorder="1" applyProtection="1">
      <alignment vertical="center"/>
      <protection locked="0"/>
    </xf>
    <xf numFmtId="49" fontId="5" fillId="5" borderId="6" xfId="4" applyNumberFormat="1" applyFont="1" applyFill="1" applyBorder="1" applyProtection="1">
      <alignment vertical="center"/>
      <protection hidden="1"/>
    </xf>
    <xf numFmtId="49" fontId="5" fillId="5" borderId="9" xfId="4" applyNumberFormat="1" applyFont="1" applyFill="1" applyBorder="1" applyProtection="1">
      <alignment vertical="center"/>
      <protection hidden="1"/>
    </xf>
    <xf numFmtId="0" fontId="23" fillId="0" borderId="6" xfId="2" applyFont="1" applyBorder="1"/>
    <xf numFmtId="0" fontId="19" fillId="8" borderId="6" xfId="2" applyFont="1" applyFill="1" applyBorder="1" applyAlignment="1">
      <alignment vertical="center"/>
    </xf>
    <xf numFmtId="0" fontId="23" fillId="8" borderId="6" xfId="2" applyFont="1" applyFill="1" applyBorder="1" applyAlignment="1">
      <alignment vertical="center"/>
    </xf>
    <xf numFmtId="0" fontId="19" fillId="18" borderId="6" xfId="2" applyFont="1" applyFill="1" applyBorder="1" applyAlignment="1">
      <alignment horizontal="left" vertical="top"/>
    </xf>
    <xf numFmtId="0" fontId="23" fillId="18" borderId="6" xfId="2" applyFont="1" applyFill="1" applyBorder="1" applyAlignment="1">
      <alignment vertical="center"/>
    </xf>
    <xf numFmtId="0" fontId="17" fillId="13" borderId="0" xfId="4" applyFont="1" applyFill="1" applyProtection="1">
      <alignment vertical="center"/>
      <protection hidden="1"/>
    </xf>
    <xf numFmtId="49" fontId="18" fillId="13" borderId="6" xfId="4" applyNumberFormat="1" applyFont="1" applyFill="1" applyBorder="1" applyAlignment="1">
      <alignment horizontal="left" vertical="center"/>
    </xf>
    <xf numFmtId="49" fontId="18" fillId="13" borderId="6" xfId="4" applyNumberFormat="1" applyFont="1" applyFill="1" applyBorder="1">
      <alignment vertical="center"/>
    </xf>
    <xf numFmtId="0" fontId="18" fillId="13" borderId="6" xfId="4" applyFont="1" applyFill="1" applyBorder="1" applyAlignment="1">
      <alignment horizontal="left" vertical="center"/>
    </xf>
    <xf numFmtId="49" fontId="20" fillId="13" borderId="6" xfId="4" applyNumberFormat="1" applyFont="1" applyFill="1" applyBorder="1">
      <alignment vertical="center"/>
    </xf>
    <xf numFmtId="6" fontId="5" fillId="5" borderId="0" xfId="4" applyNumberFormat="1" applyFont="1" applyFill="1" applyProtection="1">
      <alignment vertical="center"/>
      <protection hidden="1"/>
    </xf>
    <xf numFmtId="0" fontId="31" fillId="16" borderId="0" xfId="4" applyFont="1" applyFill="1" applyProtection="1">
      <alignment vertical="center"/>
      <protection hidden="1"/>
    </xf>
    <xf numFmtId="0" fontId="31" fillId="16" borderId="0" xfId="4" applyFont="1" applyFill="1" applyProtection="1">
      <alignment vertical="center"/>
      <protection locked="0" hidden="1"/>
    </xf>
    <xf numFmtId="0" fontId="31" fillId="16" borderId="0" xfId="4" applyFont="1" applyFill="1" applyAlignment="1" applyProtection="1">
      <alignment horizontal="left" vertical="center" wrapText="1"/>
      <protection hidden="1"/>
    </xf>
    <xf numFmtId="0" fontId="20" fillId="4" borderId="2" xfId="4" applyFont="1" applyFill="1" applyBorder="1" applyAlignment="1" applyProtection="1">
      <alignment horizontal="right" vertical="center"/>
      <protection hidden="1"/>
    </xf>
    <xf numFmtId="0" fontId="15" fillId="4" borderId="6" xfId="4" applyFont="1" applyFill="1" applyBorder="1" applyAlignment="1" applyProtection="1">
      <alignment horizontal="right" vertical="center"/>
      <protection hidden="1"/>
    </xf>
    <xf numFmtId="182" fontId="34" fillId="0" borderId="131" xfId="6" applyNumberFormat="1" applyFont="1" applyBorder="1" applyAlignment="1" applyProtection="1">
      <alignment horizontal="center" vertical="center" shrinkToFit="1"/>
    </xf>
    <xf numFmtId="180" fontId="34" fillId="0" borderId="77" xfId="6" applyNumberFormat="1" applyFont="1" applyBorder="1" applyAlignment="1" applyProtection="1">
      <alignment horizontal="center" vertical="center" shrinkToFit="1"/>
    </xf>
    <xf numFmtId="176" fontId="34" fillId="0" borderId="128" xfId="4" applyNumberFormat="1" applyFont="1" applyBorder="1">
      <alignment vertical="center"/>
    </xf>
    <xf numFmtId="0" fontId="30" fillId="0" borderId="136" xfId="4" applyFont="1" applyBorder="1" applyAlignment="1">
      <alignment horizontal="center" vertical="center" shrinkToFit="1"/>
    </xf>
    <xf numFmtId="0" fontId="30" fillId="0" borderId="136" xfId="4" applyFont="1" applyBorder="1" applyAlignment="1">
      <alignment vertical="center" shrinkToFit="1"/>
    </xf>
    <xf numFmtId="0" fontId="34" fillId="0" borderId="136" xfId="4" applyFont="1" applyBorder="1" applyAlignment="1">
      <alignment horizontal="center" vertical="center" shrinkToFit="1"/>
    </xf>
    <xf numFmtId="0" fontId="30" fillId="0" borderId="137" xfId="4" applyFont="1" applyBorder="1">
      <alignment vertical="center"/>
    </xf>
    <xf numFmtId="0" fontId="34" fillId="0" borderId="137" xfId="4" applyFont="1" applyBorder="1" applyAlignment="1">
      <alignment horizontal="right" vertical="center"/>
    </xf>
    <xf numFmtId="0" fontId="9" fillId="5" borderId="0" xfId="4" applyFont="1" applyFill="1" applyAlignment="1" applyProtection="1">
      <alignment vertical="center" wrapText="1"/>
      <protection locked="0"/>
    </xf>
    <xf numFmtId="0" fontId="34" fillId="0" borderId="139" xfId="4" applyFont="1" applyBorder="1" applyAlignment="1">
      <alignment horizontal="center" vertical="center" shrinkToFit="1"/>
    </xf>
    <xf numFmtId="0" fontId="30" fillId="0" borderId="139" xfId="4" applyFont="1" applyBorder="1" applyAlignment="1">
      <alignment horizontal="center" vertical="center" shrinkToFit="1"/>
    </xf>
    <xf numFmtId="0" fontId="30" fillId="0" borderId="139" xfId="4" applyFont="1" applyBorder="1" applyAlignment="1">
      <alignment vertical="center" shrinkToFit="1"/>
    </xf>
    <xf numFmtId="182" fontId="34" fillId="0" borderId="131" xfId="6" applyNumberFormat="1" applyFont="1" applyBorder="1" applyAlignment="1" applyProtection="1">
      <alignment horizontal="center" vertical="center" shrinkToFit="1"/>
      <protection locked="0"/>
    </xf>
    <xf numFmtId="182" fontId="34" fillId="0" borderId="77" xfId="6" applyNumberFormat="1" applyFont="1" applyBorder="1" applyAlignment="1" applyProtection="1">
      <alignment horizontal="center" vertical="center" shrinkToFit="1"/>
    </xf>
    <xf numFmtId="0" fontId="5" fillId="5" borderId="0" xfId="4" applyFont="1" applyFill="1" applyProtection="1">
      <alignment vertical="center"/>
      <protection locked="0"/>
    </xf>
    <xf numFmtId="49" fontId="5" fillId="5" borderId="0" xfId="4" applyNumberFormat="1" applyFont="1" applyFill="1" applyProtection="1">
      <alignment vertical="center"/>
      <protection hidden="1"/>
    </xf>
    <xf numFmtId="0" fontId="5" fillId="5" borderId="0" xfId="4" applyFont="1" applyFill="1" applyProtection="1">
      <alignment vertical="center"/>
      <protection locked="0" hidden="1"/>
    </xf>
    <xf numFmtId="0" fontId="9" fillId="2" borderId="0" xfId="4" applyFont="1" applyFill="1" applyAlignment="1" applyProtection="1">
      <alignment vertical="center" shrinkToFit="1"/>
      <protection hidden="1"/>
    </xf>
    <xf numFmtId="0" fontId="9" fillId="2" borderId="0" xfId="4" applyFont="1" applyFill="1" applyAlignment="1" applyProtection="1">
      <alignment horizontal="right" vertical="center" shrinkToFit="1"/>
      <protection hidden="1"/>
    </xf>
    <xf numFmtId="0" fontId="9" fillId="0" borderId="0" xfId="4" applyFont="1" applyAlignment="1" applyProtection="1">
      <alignment vertical="center" shrinkToFit="1"/>
      <protection hidden="1"/>
    </xf>
    <xf numFmtId="9" fontId="5" fillId="5" borderId="0" xfId="6" applyFont="1" applyFill="1" applyBorder="1" applyProtection="1">
      <alignment vertical="center"/>
      <protection hidden="1"/>
    </xf>
    <xf numFmtId="6" fontId="29" fillId="0" borderId="0" xfId="5" applyFont="1" applyBorder="1" applyAlignment="1" applyProtection="1">
      <alignment horizontal="left" vertical="center" shrinkToFit="1"/>
    </xf>
    <xf numFmtId="6" fontId="29" fillId="0" borderId="34" xfId="5" applyFont="1" applyBorder="1" applyAlignment="1" applyProtection="1">
      <alignment horizontal="left" vertical="center" shrinkToFit="1"/>
    </xf>
    <xf numFmtId="0" fontId="9" fillId="0" borderId="0" xfId="3" applyFont="1" applyProtection="1">
      <alignment vertical="center"/>
      <protection locked="0"/>
    </xf>
    <xf numFmtId="6" fontId="5" fillId="0" borderId="0" xfId="4" applyNumberFormat="1" applyFont="1" applyProtection="1">
      <alignment vertical="center"/>
      <protection locked="0"/>
    </xf>
    <xf numFmtId="0" fontId="5" fillId="0" borderId="0" xfId="4" applyFont="1" applyProtection="1">
      <alignment vertical="center"/>
      <protection locked="0"/>
    </xf>
    <xf numFmtId="0" fontId="15" fillId="0" borderId="0" xfId="6" applyNumberFormat="1" applyFont="1" applyFill="1" applyBorder="1" applyAlignment="1" applyProtection="1">
      <alignment horizontal="left" vertical="center"/>
      <protection locked="0" hidden="1"/>
    </xf>
    <xf numFmtId="49" fontId="61" fillId="0" borderId="0" xfId="4" applyNumberFormat="1" applyFont="1" applyProtection="1">
      <alignment vertical="center"/>
      <protection locked="0"/>
    </xf>
    <xf numFmtId="0" fontId="61" fillId="0" borderId="0" xfId="4" applyFont="1" applyProtection="1">
      <alignment vertical="center"/>
      <protection hidden="1"/>
    </xf>
    <xf numFmtId="0" fontId="5" fillId="4" borderId="9" xfId="4" applyFont="1" applyFill="1" applyBorder="1" applyProtection="1">
      <alignment vertical="center"/>
      <protection locked="0"/>
    </xf>
    <xf numFmtId="0" fontId="5" fillId="4" borderId="9" xfId="4" applyFont="1" applyFill="1" applyBorder="1" applyProtection="1">
      <alignment vertical="center"/>
      <protection hidden="1"/>
    </xf>
    <xf numFmtId="49" fontId="5" fillId="4" borderId="9" xfId="4" applyNumberFormat="1" applyFont="1" applyFill="1" applyBorder="1" applyProtection="1">
      <alignment vertical="center"/>
      <protection hidden="1"/>
    </xf>
    <xf numFmtId="0" fontId="5" fillId="4" borderId="9" xfId="4" applyFont="1" applyFill="1" applyBorder="1" applyProtection="1">
      <alignment vertical="center"/>
      <protection locked="0" hidden="1"/>
    </xf>
    <xf numFmtId="0" fontId="9" fillId="24" borderId="9" xfId="4" applyFont="1" applyFill="1" applyBorder="1" applyAlignment="1" applyProtection="1">
      <alignment vertical="center" shrinkToFit="1"/>
      <protection hidden="1"/>
    </xf>
    <xf numFmtId="0" fontId="9" fillId="24" borderId="6" xfId="4" applyFont="1" applyFill="1" applyBorder="1" applyAlignment="1" applyProtection="1">
      <alignment horizontal="right" vertical="center" shrinkToFit="1"/>
      <protection hidden="1"/>
    </xf>
    <xf numFmtId="0" fontId="9" fillId="4" borderId="9" xfId="4" applyFont="1" applyFill="1" applyBorder="1" applyAlignment="1" applyProtection="1">
      <alignment vertical="center" shrinkToFit="1"/>
      <protection hidden="1"/>
    </xf>
    <xf numFmtId="0" fontId="9" fillId="24" borderId="6" xfId="4" applyFont="1" applyFill="1" applyBorder="1" applyAlignment="1" applyProtection="1">
      <alignment vertical="center" shrinkToFit="1"/>
      <protection hidden="1"/>
    </xf>
    <xf numFmtId="6" fontId="5" fillId="4" borderId="6" xfId="4" applyNumberFormat="1" applyFont="1" applyFill="1" applyBorder="1" applyProtection="1">
      <alignment vertical="center"/>
      <protection hidden="1"/>
    </xf>
    <xf numFmtId="10" fontId="5" fillId="5" borderId="6" xfId="6" applyNumberFormat="1" applyFont="1" applyFill="1" applyBorder="1" applyProtection="1">
      <alignment vertical="center"/>
      <protection hidden="1"/>
    </xf>
    <xf numFmtId="10" fontId="5" fillId="4" borderId="6" xfId="6" applyNumberFormat="1" applyFont="1" applyFill="1" applyBorder="1" applyProtection="1">
      <alignment vertical="center"/>
      <protection hidden="1"/>
    </xf>
    <xf numFmtId="0" fontId="9" fillId="24" borderId="9" xfId="4" applyFont="1" applyFill="1" applyBorder="1" applyAlignment="1" applyProtection="1">
      <alignment horizontal="right" vertical="center" shrinkToFit="1"/>
      <protection hidden="1"/>
    </xf>
    <xf numFmtId="0" fontId="62" fillId="0" borderId="6" xfId="4" applyFont="1" applyBorder="1" applyProtection="1">
      <alignment vertical="center"/>
      <protection hidden="1"/>
    </xf>
    <xf numFmtId="6" fontId="29" fillId="0" borderId="40" xfId="5" applyFont="1" applyBorder="1" applyAlignment="1" applyProtection="1">
      <alignment horizontal="left" vertical="center" shrinkToFit="1"/>
    </xf>
    <xf numFmtId="0" fontId="12" fillId="0" borderId="0" xfId="0" applyFont="1" applyAlignment="1">
      <alignment horizontal="left" vertical="center"/>
    </xf>
    <xf numFmtId="46" fontId="12" fillId="0" borderId="0" xfId="0" applyNumberFormat="1" applyFont="1" applyAlignment="1">
      <alignment horizontal="left" vertical="center"/>
    </xf>
    <xf numFmtId="0" fontId="34" fillId="0" borderId="40" xfId="4" applyFont="1" applyBorder="1" applyAlignment="1">
      <alignment horizontal="center" vertical="center" shrinkToFit="1"/>
    </xf>
    <xf numFmtId="0" fontId="5" fillId="4" borderId="6" xfId="4" applyFont="1" applyFill="1" applyBorder="1" applyProtection="1">
      <alignment vertical="center"/>
      <protection locked="0"/>
    </xf>
    <xf numFmtId="0" fontId="5" fillId="4" borderId="6" xfId="4" applyFont="1" applyFill="1" applyBorder="1" applyProtection="1">
      <alignment vertical="center"/>
      <protection locked="0" hidden="1"/>
    </xf>
    <xf numFmtId="0" fontId="9" fillId="4" borderId="6" xfId="4" applyFont="1" applyFill="1" applyBorder="1" applyAlignment="1" applyProtection="1">
      <alignment vertical="center" shrinkToFit="1"/>
      <protection hidden="1"/>
    </xf>
    <xf numFmtId="0" fontId="30" fillId="0" borderId="63" xfId="4" applyFont="1" applyBorder="1" applyAlignment="1">
      <alignment vertical="center" wrapText="1"/>
    </xf>
    <xf numFmtId="0" fontId="30" fillId="0" borderId="5" xfId="4" applyFont="1" applyBorder="1" applyAlignment="1">
      <alignment vertical="center" wrapText="1"/>
    </xf>
    <xf numFmtId="0" fontId="30" fillId="0" borderId="36" xfId="4" applyFont="1" applyBorder="1" applyAlignment="1">
      <alignment vertical="center" wrapText="1"/>
    </xf>
    <xf numFmtId="184" fontId="29" fillId="6" borderId="168" xfId="13" applyNumberFormat="1" applyFont="1" applyFill="1" applyBorder="1" applyAlignment="1" applyProtection="1">
      <alignment vertical="center" shrinkToFit="1"/>
    </xf>
    <xf numFmtId="184" fontId="29" fillId="6" borderId="21" xfId="5" applyNumberFormat="1" applyFont="1" applyFill="1" applyBorder="1" applyAlignment="1" applyProtection="1">
      <alignment vertical="center" shrinkToFit="1"/>
    </xf>
    <xf numFmtId="0" fontId="5" fillId="4" borderId="6" xfId="4" applyFont="1" applyFill="1" applyBorder="1" applyAlignment="1" applyProtection="1">
      <alignment horizontal="left" vertical="center"/>
      <protection locked="0"/>
    </xf>
    <xf numFmtId="0" fontId="31" fillId="0" borderId="17" xfId="4" applyFont="1" applyBorder="1">
      <alignment vertical="center"/>
    </xf>
    <xf numFmtId="0" fontId="42" fillId="0" borderId="169" xfId="0" applyFont="1" applyBorder="1">
      <alignment vertical="center"/>
    </xf>
    <xf numFmtId="0" fontId="42" fillId="0" borderId="170" xfId="0" applyFont="1" applyBorder="1">
      <alignment vertical="center"/>
    </xf>
    <xf numFmtId="0" fontId="42" fillId="0" borderId="0" xfId="0" applyFont="1">
      <alignment vertical="center"/>
    </xf>
    <xf numFmtId="0" fontId="42" fillId="0" borderId="171" xfId="0" applyFont="1" applyBorder="1">
      <alignment vertical="center"/>
    </xf>
    <xf numFmtId="0" fontId="42" fillId="0" borderId="172" xfId="0" applyFont="1" applyBorder="1">
      <alignment vertical="center"/>
    </xf>
    <xf numFmtId="0" fontId="66" fillId="0" borderId="0" xfId="0" applyFont="1">
      <alignment vertical="center"/>
    </xf>
    <xf numFmtId="0" fontId="47" fillId="0" borderId="0" xfId="0" applyFont="1">
      <alignment vertical="center"/>
    </xf>
    <xf numFmtId="0" fontId="35" fillId="0" borderId="0" xfId="0" applyFont="1">
      <alignment vertical="center"/>
    </xf>
    <xf numFmtId="0" fontId="42" fillId="8" borderId="175" xfId="0" applyFont="1" applyFill="1" applyBorder="1">
      <alignment vertical="center"/>
    </xf>
    <xf numFmtId="0" fontId="42" fillId="8" borderId="176" xfId="0" applyFont="1" applyFill="1" applyBorder="1">
      <alignment vertical="center"/>
    </xf>
    <xf numFmtId="0" fontId="42" fillId="8" borderId="171" xfId="0" applyFont="1" applyFill="1" applyBorder="1">
      <alignment vertical="center"/>
    </xf>
    <xf numFmtId="0" fontId="42" fillId="8" borderId="0" xfId="0" applyFont="1" applyFill="1">
      <alignment vertical="center"/>
    </xf>
    <xf numFmtId="0" fontId="42" fillId="8" borderId="172" xfId="0" applyFont="1" applyFill="1" applyBorder="1">
      <alignment vertical="center"/>
    </xf>
    <xf numFmtId="0" fontId="59" fillId="8" borderId="171" xfId="0" applyFont="1" applyFill="1" applyBorder="1">
      <alignment vertical="center"/>
    </xf>
    <xf numFmtId="0" fontId="58" fillId="8" borderId="0" xfId="0" applyFont="1" applyFill="1">
      <alignment vertical="center"/>
    </xf>
    <xf numFmtId="0" fontId="42" fillId="8" borderId="177" xfId="0" applyFont="1" applyFill="1" applyBorder="1">
      <alignment vertical="center"/>
    </xf>
    <xf numFmtId="0" fontId="42" fillId="8" borderId="178" xfId="0" applyFont="1" applyFill="1" applyBorder="1">
      <alignment vertical="center"/>
    </xf>
    <xf numFmtId="0" fontId="42" fillId="8" borderId="179" xfId="0" applyFont="1" applyFill="1" applyBorder="1">
      <alignment vertical="center"/>
    </xf>
    <xf numFmtId="0" fontId="59" fillId="8" borderId="177" xfId="0" applyFont="1" applyFill="1" applyBorder="1">
      <alignment vertical="center"/>
    </xf>
    <xf numFmtId="0" fontId="42" fillId="0" borderId="177" xfId="0" applyFont="1" applyBorder="1">
      <alignment vertical="center"/>
    </xf>
    <xf numFmtId="0" fontId="42" fillId="0" borderId="178" xfId="0" applyFont="1" applyBorder="1">
      <alignment vertical="center"/>
    </xf>
    <xf numFmtId="0" fontId="42" fillId="0" borderId="179" xfId="0" applyFont="1" applyBorder="1">
      <alignment vertical="center"/>
    </xf>
    <xf numFmtId="0" fontId="43" fillId="0" borderId="0" xfId="0" applyFont="1">
      <alignment vertical="center"/>
    </xf>
    <xf numFmtId="0" fontId="61" fillId="5" borderId="0" xfId="4" applyFont="1" applyFill="1" applyProtection="1">
      <alignment vertical="center"/>
      <protection locked="0"/>
    </xf>
    <xf numFmtId="6" fontId="15" fillId="5" borderId="0" xfId="4" applyNumberFormat="1" applyFont="1" applyFill="1" applyProtection="1">
      <alignment vertical="center"/>
      <protection locked="0"/>
    </xf>
    <xf numFmtId="0" fontId="15" fillId="5" borderId="0" xfId="4" applyFont="1" applyFill="1" applyProtection="1">
      <alignment vertical="center"/>
      <protection locked="0"/>
    </xf>
    <xf numFmtId="0" fontId="61" fillId="5" borderId="0" xfId="4" applyFont="1" applyFill="1" applyProtection="1">
      <alignment vertical="center"/>
      <protection hidden="1"/>
    </xf>
    <xf numFmtId="0" fontId="54" fillId="0" borderId="0" xfId="14" applyNumberFormat="1" applyFill="1" applyBorder="1" applyProtection="1">
      <alignment vertical="center"/>
      <protection locked="0"/>
    </xf>
    <xf numFmtId="0" fontId="54" fillId="0" borderId="0" xfId="14" applyNumberFormat="1" applyFill="1" applyProtection="1">
      <alignment vertical="center"/>
      <protection hidden="1"/>
    </xf>
    <xf numFmtId="0" fontId="54" fillId="0" borderId="0" xfId="14" applyNumberFormat="1" applyFill="1" applyBorder="1" applyProtection="1">
      <alignment vertical="center"/>
      <protection hidden="1"/>
    </xf>
    <xf numFmtId="0" fontId="68" fillId="0" borderId="31" xfId="4" applyFont="1" applyBorder="1">
      <alignment vertical="center"/>
    </xf>
    <xf numFmtId="0" fontId="30" fillId="0" borderId="147" xfId="4" applyFont="1" applyBorder="1" applyAlignment="1">
      <alignment vertical="center" shrinkToFit="1"/>
    </xf>
    <xf numFmtId="0" fontId="30" fillId="0" borderId="147" xfId="4" applyFont="1" applyBorder="1" applyAlignment="1" applyProtection="1">
      <alignment vertical="center" shrinkToFit="1"/>
      <protection locked="0"/>
    </xf>
    <xf numFmtId="0" fontId="30" fillId="0" borderId="150" xfId="4" applyFont="1" applyBorder="1" applyAlignment="1">
      <alignment vertical="center" shrinkToFit="1"/>
    </xf>
    <xf numFmtId="49" fontId="30" fillId="0" borderId="193" xfId="4" applyNumberFormat="1" applyFont="1" applyBorder="1" applyAlignment="1">
      <alignment vertical="center" shrinkToFit="1"/>
    </xf>
    <xf numFmtId="49" fontId="30" fillId="0" borderId="194" xfId="4" applyNumberFormat="1" applyFont="1" applyBorder="1" applyAlignment="1">
      <alignment vertical="center" shrinkToFit="1"/>
    </xf>
    <xf numFmtId="49" fontId="30" fillId="0" borderId="5" xfId="4" applyNumberFormat="1" applyFont="1" applyBorder="1" applyAlignment="1">
      <alignment vertical="center" shrinkToFit="1"/>
    </xf>
    <xf numFmtId="49" fontId="30" fillId="0" borderId="36" xfId="4" applyNumberFormat="1" applyFont="1" applyBorder="1" applyAlignment="1">
      <alignment vertical="center" shrinkToFit="1"/>
    </xf>
    <xf numFmtId="0" fontId="30" fillId="0" borderId="193" xfId="4" applyFont="1" applyBorder="1" applyAlignment="1">
      <alignment vertical="center" shrinkToFit="1"/>
    </xf>
    <xf numFmtId="0" fontId="30" fillId="0" borderId="194" xfId="4" applyFont="1" applyBorder="1" applyAlignment="1">
      <alignment vertical="center" shrinkToFit="1"/>
    </xf>
    <xf numFmtId="0" fontId="30" fillId="0" borderId="195" xfId="4" applyFont="1" applyBorder="1" applyAlignment="1">
      <alignment vertical="center" shrinkToFit="1"/>
    </xf>
    <xf numFmtId="0" fontId="30" fillId="0" borderId="5" xfId="4" applyFont="1" applyBorder="1" applyAlignment="1">
      <alignment vertical="center" shrinkToFit="1"/>
    </xf>
    <xf numFmtId="0" fontId="30" fillId="0" borderId="36" xfId="4" applyFont="1" applyBorder="1" applyAlignment="1">
      <alignment vertical="center" shrinkToFit="1"/>
    </xf>
    <xf numFmtId="0" fontId="30" fillId="0" borderId="54" xfId="4" applyFont="1" applyBorder="1" applyAlignment="1">
      <alignment vertical="center" shrinkToFit="1"/>
    </xf>
    <xf numFmtId="0" fontId="30" fillId="0" borderId="36" xfId="4" applyFont="1" applyBorder="1">
      <alignment vertical="center"/>
    </xf>
    <xf numFmtId="0" fontId="30" fillId="0" borderId="194" xfId="4" applyFont="1" applyBorder="1">
      <alignment vertical="center"/>
    </xf>
    <xf numFmtId="0" fontId="30" fillId="0" borderId="99" xfId="4" applyFont="1" applyBorder="1" applyAlignment="1">
      <alignment vertical="center" shrinkToFit="1"/>
    </xf>
    <xf numFmtId="49" fontId="30" fillId="29" borderId="194" xfId="4" applyNumberFormat="1" applyFont="1" applyFill="1" applyBorder="1" applyAlignment="1">
      <alignment horizontal="left" vertical="center" shrinkToFit="1"/>
    </xf>
    <xf numFmtId="49" fontId="30" fillId="29" borderId="196" xfId="4" applyNumberFormat="1" applyFont="1" applyFill="1" applyBorder="1" applyAlignment="1">
      <alignment horizontal="left" vertical="center" shrinkToFit="1"/>
    </xf>
    <xf numFmtId="49" fontId="30" fillId="29" borderId="36" xfId="4" applyNumberFormat="1" applyFont="1" applyFill="1" applyBorder="1" applyAlignment="1">
      <alignment horizontal="left" vertical="center" shrinkToFit="1"/>
    </xf>
    <xf numFmtId="49" fontId="30" fillId="29" borderId="37" xfId="4" applyNumberFormat="1" applyFont="1" applyFill="1" applyBorder="1" applyAlignment="1">
      <alignment horizontal="left" vertical="center" shrinkToFit="1"/>
    </xf>
    <xf numFmtId="49" fontId="30" fillId="29" borderId="0" xfId="4" applyNumberFormat="1" applyFont="1" applyFill="1" applyAlignment="1">
      <alignment horizontal="left" vertical="center" shrinkToFit="1"/>
    </xf>
    <xf numFmtId="49" fontId="30" fillId="29" borderId="34" xfId="4" applyNumberFormat="1" applyFont="1" applyFill="1" applyBorder="1" applyAlignment="1">
      <alignment horizontal="left" vertical="center" shrinkToFit="1"/>
    </xf>
    <xf numFmtId="49" fontId="30" fillId="29" borderId="40" xfId="4" applyNumberFormat="1" applyFont="1" applyFill="1" applyBorder="1" applyAlignment="1">
      <alignment horizontal="left" vertical="center" shrinkToFit="1"/>
    </xf>
    <xf numFmtId="49" fontId="30" fillId="29" borderId="43" xfId="4" applyNumberFormat="1" applyFont="1" applyFill="1" applyBorder="1" applyAlignment="1">
      <alignment horizontal="left" vertical="center" shrinkToFit="1"/>
    </xf>
    <xf numFmtId="0" fontId="30" fillId="0" borderId="0" xfId="4" applyFont="1" applyAlignment="1">
      <alignment horizontal="left" vertical="center" shrinkToFit="1"/>
    </xf>
    <xf numFmtId="0" fontId="31" fillId="30" borderId="0" xfId="4" applyFont="1" applyFill="1" applyProtection="1">
      <alignment vertical="center"/>
      <protection locked="0"/>
    </xf>
    <xf numFmtId="0" fontId="29" fillId="0" borderId="0" xfId="4" applyFont="1" applyProtection="1">
      <alignment vertical="center"/>
      <protection locked="0"/>
    </xf>
    <xf numFmtId="49" fontId="30" fillId="29" borderId="36" xfId="4" applyNumberFormat="1" applyFont="1" applyFill="1" applyBorder="1" applyAlignment="1">
      <alignment vertical="center" shrinkToFit="1"/>
    </xf>
    <xf numFmtId="49" fontId="30" fillId="29" borderId="0" xfId="4" applyNumberFormat="1" applyFont="1" applyFill="1" applyAlignment="1">
      <alignment vertical="center" shrinkToFit="1"/>
    </xf>
    <xf numFmtId="49" fontId="30" fillId="29" borderId="40" xfId="4" applyNumberFormat="1" applyFont="1" applyFill="1" applyBorder="1" applyAlignment="1">
      <alignment vertical="center" shrinkToFit="1"/>
    </xf>
    <xf numFmtId="49" fontId="30" fillId="34" borderId="194" xfId="4" applyNumberFormat="1" applyFont="1" applyFill="1" applyBorder="1" applyAlignment="1">
      <alignment vertical="center" shrinkToFit="1"/>
    </xf>
    <xf numFmtId="0" fontId="30" fillId="34" borderId="194" xfId="4" applyFont="1" applyFill="1" applyBorder="1" applyAlignment="1">
      <alignment vertical="center" wrapText="1" shrinkToFit="1"/>
    </xf>
    <xf numFmtId="0" fontId="30" fillId="34" borderId="40" xfId="4" applyFont="1" applyFill="1" applyBorder="1" applyAlignment="1">
      <alignment vertical="center" wrapText="1" shrinkToFit="1"/>
    </xf>
    <xf numFmtId="0" fontId="30" fillId="34" borderId="193" xfId="4" applyFont="1" applyFill="1" applyBorder="1" applyAlignment="1">
      <alignment vertical="center" wrapText="1" shrinkToFit="1"/>
    </xf>
    <xf numFmtId="0" fontId="30" fillId="34" borderId="42" xfId="4" applyFont="1" applyFill="1" applyBorder="1" applyAlignment="1">
      <alignment vertical="center" wrapText="1" shrinkToFit="1"/>
    </xf>
    <xf numFmtId="0" fontId="30" fillId="0" borderId="200" xfId="4" applyFont="1" applyBorder="1" applyAlignment="1">
      <alignment horizontal="center" vertical="center" shrinkToFit="1"/>
    </xf>
    <xf numFmtId="0" fontId="30" fillId="0" borderId="67" xfId="4" applyFont="1" applyBorder="1" applyAlignment="1">
      <alignment horizontal="center" vertical="center" shrinkToFit="1"/>
    </xf>
    <xf numFmtId="14" fontId="31" fillId="0" borderId="0" xfId="4" applyNumberFormat="1" applyFont="1" applyProtection="1">
      <alignment vertical="center"/>
      <protection locked="0"/>
    </xf>
    <xf numFmtId="0" fontId="58" fillId="0" borderId="0" xfId="0" applyFont="1">
      <alignment vertical="center"/>
    </xf>
    <xf numFmtId="0" fontId="31" fillId="0" borderId="0" xfId="4" applyFont="1">
      <alignment vertical="center"/>
    </xf>
    <xf numFmtId="0" fontId="19" fillId="27" borderId="6" xfId="2" applyFont="1" applyFill="1" applyBorder="1" applyAlignment="1">
      <alignment vertical="center"/>
    </xf>
    <xf numFmtId="0" fontId="5" fillId="27" borderId="6" xfId="4" applyFont="1" applyFill="1" applyBorder="1" applyProtection="1">
      <alignment vertical="center"/>
      <protection hidden="1"/>
    </xf>
    <xf numFmtId="0" fontId="15" fillId="27" borderId="6" xfId="4" applyFont="1" applyFill="1" applyBorder="1" applyProtection="1">
      <alignment vertical="center"/>
      <protection hidden="1"/>
    </xf>
    <xf numFmtId="0" fontId="5" fillId="27" borderId="0" xfId="4" applyFont="1" applyFill="1" applyProtection="1">
      <alignment vertical="center"/>
      <protection hidden="1"/>
    </xf>
    <xf numFmtId="0" fontId="5" fillId="21" borderId="6" xfId="4" applyFont="1" applyFill="1" applyBorder="1" applyProtection="1">
      <alignment vertical="center"/>
      <protection hidden="1"/>
    </xf>
    <xf numFmtId="0" fontId="15" fillId="21" borderId="6" xfId="4" applyFont="1" applyFill="1" applyBorder="1" applyProtection="1">
      <alignment vertical="center"/>
      <protection hidden="1"/>
    </xf>
    <xf numFmtId="0" fontId="15" fillId="21" borderId="6" xfId="4" applyFont="1" applyFill="1" applyBorder="1" applyAlignment="1" applyProtection="1">
      <alignment horizontal="right" vertical="center"/>
      <protection hidden="1"/>
    </xf>
    <xf numFmtId="0" fontId="5" fillId="0" borderId="6" xfId="7" applyNumberFormat="1" applyFont="1" applyFill="1" applyBorder="1" applyAlignment="1" applyProtection="1">
      <alignment vertical="center"/>
      <protection hidden="1"/>
    </xf>
    <xf numFmtId="0" fontId="5" fillId="21" borderId="6" xfId="7" applyNumberFormat="1" applyFont="1" applyFill="1" applyBorder="1" applyAlignment="1" applyProtection="1">
      <alignment vertical="center"/>
      <protection hidden="1"/>
    </xf>
    <xf numFmtId="0" fontId="15" fillId="21" borderId="6" xfId="7" applyNumberFormat="1" applyFont="1" applyFill="1" applyBorder="1" applyAlignment="1" applyProtection="1">
      <alignment horizontal="right" vertical="center"/>
      <protection hidden="1"/>
    </xf>
    <xf numFmtId="0" fontId="5" fillId="21" borderId="6" xfId="4" applyFont="1" applyFill="1" applyBorder="1" applyProtection="1">
      <alignment vertical="center"/>
      <protection locked="0"/>
    </xf>
    <xf numFmtId="0" fontId="15" fillId="21" borderId="6" xfId="4" applyFont="1" applyFill="1" applyBorder="1" applyProtection="1">
      <alignment vertical="center"/>
      <protection locked="0"/>
    </xf>
    <xf numFmtId="0" fontId="5" fillId="0" borderId="0" xfId="4" applyFont="1" applyAlignment="1" applyProtection="1">
      <alignment horizontal="center" vertical="center" shrinkToFit="1"/>
      <protection hidden="1"/>
    </xf>
    <xf numFmtId="0" fontId="5" fillId="0" borderId="0" xfId="4" applyFont="1" applyAlignment="1" applyProtection="1">
      <alignment vertical="center" shrinkToFit="1"/>
      <protection hidden="1"/>
    </xf>
    <xf numFmtId="49" fontId="5" fillId="0" borderId="0" xfId="4" applyNumberFormat="1" applyFont="1" applyProtection="1">
      <alignment vertical="center"/>
      <protection locked="0"/>
    </xf>
    <xf numFmtId="0" fontId="15" fillId="0" borderId="194" xfId="4" applyFont="1" applyBorder="1" applyProtection="1">
      <alignment vertical="center"/>
      <protection hidden="1"/>
    </xf>
    <xf numFmtId="0" fontId="15" fillId="0" borderId="36" xfId="4" applyFont="1" applyBorder="1" applyProtection="1">
      <alignment vertical="center"/>
      <protection hidden="1"/>
    </xf>
    <xf numFmtId="0" fontId="9" fillId="0" borderId="6" xfId="4" applyFont="1" applyBorder="1" applyAlignment="1" applyProtection="1">
      <alignment vertical="center" shrinkToFit="1"/>
      <protection hidden="1"/>
    </xf>
    <xf numFmtId="6" fontId="29" fillId="0" borderId="194" xfId="5" applyFont="1" applyBorder="1" applyAlignment="1" applyProtection="1">
      <alignment horizontal="left" vertical="center" shrinkToFit="1"/>
    </xf>
    <xf numFmtId="0" fontId="29" fillId="0" borderId="200" xfId="4" applyFont="1" applyBorder="1">
      <alignment vertical="center"/>
    </xf>
    <xf numFmtId="6" fontId="29" fillId="0" borderId="200" xfId="5" applyFont="1" applyBorder="1" applyAlignment="1" applyProtection="1">
      <alignment horizontal="left" vertical="center" shrinkToFit="1"/>
    </xf>
    <xf numFmtId="0" fontId="29" fillId="0" borderId="194" xfId="4" applyFont="1" applyBorder="1">
      <alignment vertical="center"/>
    </xf>
    <xf numFmtId="0" fontId="15" fillId="0" borderId="0" xfId="4" applyFont="1" applyAlignment="1" applyProtection="1">
      <alignment horizontal="left" vertical="center"/>
      <protection hidden="1"/>
    </xf>
    <xf numFmtId="0" fontId="34" fillId="0" borderId="200" xfId="4" applyFont="1" applyBorder="1" applyAlignment="1">
      <alignment horizontal="center" vertical="center" shrinkToFit="1"/>
    </xf>
    <xf numFmtId="6" fontId="29" fillId="0" borderId="194" xfId="5" applyFont="1" applyBorder="1" applyAlignment="1" applyProtection="1">
      <alignment horizontal="left" vertical="center" shrinkToFit="1"/>
      <protection locked="0"/>
    </xf>
    <xf numFmtId="0" fontId="34" fillId="2" borderId="200" xfId="4" applyFont="1" applyFill="1" applyBorder="1" applyAlignment="1" applyProtection="1">
      <alignment horizontal="center" vertical="center" shrinkToFit="1"/>
      <protection locked="0"/>
    </xf>
    <xf numFmtId="0" fontId="29" fillId="0" borderId="200" xfId="4" applyFont="1" applyBorder="1" applyProtection="1">
      <alignment vertical="center"/>
      <protection locked="0"/>
    </xf>
    <xf numFmtId="0" fontId="34" fillId="2" borderId="31" xfId="4" applyFont="1" applyFill="1" applyBorder="1" applyAlignment="1">
      <alignment horizontal="center" vertical="center" shrinkToFit="1"/>
    </xf>
    <xf numFmtId="0" fontId="29" fillId="0" borderId="31" xfId="4" applyFont="1" applyBorder="1">
      <alignment vertical="center"/>
    </xf>
    <xf numFmtId="6" fontId="29" fillId="0" borderId="31" xfId="5" applyFont="1" applyBorder="1" applyAlignment="1" applyProtection="1">
      <alignment horizontal="left" vertical="center" shrinkToFit="1"/>
    </xf>
    <xf numFmtId="0" fontId="34" fillId="2" borderId="76" xfId="4" applyFont="1" applyFill="1" applyBorder="1" applyAlignment="1">
      <alignment horizontal="center" vertical="center" shrinkToFit="1"/>
    </xf>
    <xf numFmtId="0" fontId="15" fillId="0" borderId="0" xfId="4" applyFont="1" applyAlignment="1" applyProtection="1">
      <alignment horizontal="left" vertical="center"/>
      <protection locked="0"/>
    </xf>
    <xf numFmtId="0" fontId="5" fillId="0" borderId="6" xfId="4" applyFont="1" applyBorder="1" applyProtection="1">
      <alignment vertical="center"/>
      <protection locked="0"/>
    </xf>
    <xf numFmtId="185" fontId="5" fillId="0" borderId="6" xfId="13" applyNumberFormat="1" applyFont="1" applyFill="1" applyBorder="1" applyProtection="1">
      <alignment vertical="center"/>
      <protection hidden="1"/>
    </xf>
    <xf numFmtId="185" fontId="5" fillId="5" borderId="6" xfId="4" applyNumberFormat="1" applyFont="1" applyFill="1" applyBorder="1" applyProtection="1">
      <alignment vertical="center"/>
      <protection hidden="1"/>
    </xf>
    <xf numFmtId="0" fontId="5" fillId="0" borderId="9" xfId="4" applyFont="1" applyBorder="1" applyProtection="1">
      <alignment vertical="center"/>
      <protection hidden="1"/>
    </xf>
    <xf numFmtId="10" fontId="5" fillId="0" borderId="6" xfId="18" applyNumberFormat="1" applyFont="1" applyFill="1" applyBorder="1" applyProtection="1">
      <alignment vertical="center"/>
      <protection hidden="1"/>
    </xf>
    <xf numFmtId="0" fontId="9" fillId="5" borderId="6" xfId="4" applyFont="1" applyFill="1" applyBorder="1" applyAlignment="1" applyProtection="1">
      <alignment horizontal="right" vertical="center"/>
      <protection locked="0"/>
    </xf>
    <xf numFmtId="0" fontId="15" fillId="30" borderId="0" xfId="4" applyFont="1" applyFill="1" applyAlignment="1" applyProtection="1">
      <alignment horizontal="left" vertical="center"/>
      <protection locked="0" hidden="1"/>
    </xf>
    <xf numFmtId="0" fontId="34" fillId="0" borderId="77" xfId="6" applyNumberFormat="1" applyFont="1" applyBorder="1" applyAlignment="1" applyProtection="1">
      <alignment vertical="center" shrinkToFit="1"/>
    </xf>
    <xf numFmtId="0" fontId="34" fillId="0" borderId="76" xfId="6" applyNumberFormat="1" applyFont="1" applyBorder="1" applyAlignment="1" applyProtection="1">
      <alignment vertical="center" shrinkToFit="1"/>
    </xf>
    <xf numFmtId="0" fontId="34" fillId="0" borderId="200" xfId="6" applyNumberFormat="1" applyFont="1" applyBorder="1" applyAlignment="1" applyProtection="1">
      <alignment vertical="center" shrinkToFit="1"/>
    </xf>
    <xf numFmtId="0" fontId="30" fillId="0" borderId="60" xfId="4" applyFont="1" applyBorder="1" applyAlignment="1">
      <alignment vertical="center" shrinkToFit="1"/>
    </xf>
    <xf numFmtId="0" fontId="30" fillId="8" borderId="0" xfId="4" applyFont="1" applyFill="1">
      <alignment vertical="center"/>
    </xf>
    <xf numFmtId="0" fontId="30" fillId="8" borderId="38" xfId="4" applyFont="1" applyFill="1" applyBorder="1" applyAlignment="1">
      <alignment horizontal="center" vertical="center"/>
    </xf>
    <xf numFmtId="49" fontId="113" fillId="35" borderId="6" xfId="19" applyNumberFormat="1" applyFont="1" applyFill="1" applyBorder="1" applyAlignment="1">
      <alignment horizontal="center" vertical="center"/>
    </xf>
    <xf numFmtId="0" fontId="114" fillId="33" borderId="9" xfId="19" applyFont="1" applyFill="1" applyBorder="1" applyAlignment="1">
      <alignment horizontal="center" vertical="center" wrapText="1"/>
    </xf>
    <xf numFmtId="0" fontId="30" fillId="36" borderId="6" xfId="19" applyFont="1" applyFill="1" applyBorder="1" applyAlignment="1">
      <alignment horizontal="center" vertical="center"/>
    </xf>
    <xf numFmtId="49" fontId="30" fillId="36" borderId="6" xfId="19" applyNumberFormat="1" applyFont="1" applyFill="1" applyBorder="1" applyAlignment="1">
      <alignment horizontal="center" wrapText="1"/>
    </xf>
    <xf numFmtId="49" fontId="30" fillId="36" borderId="6" xfId="19" applyNumberFormat="1" applyFont="1" applyFill="1" applyBorder="1" applyAlignment="1">
      <alignment horizontal="center"/>
    </xf>
    <xf numFmtId="49" fontId="30" fillId="36" borderId="10" xfId="19" applyNumberFormat="1" applyFont="1" applyFill="1" applyBorder="1" applyAlignment="1">
      <alignment horizontal="center" wrapText="1"/>
    </xf>
    <xf numFmtId="49" fontId="30" fillId="36" borderId="11" xfId="19" applyNumberFormat="1" applyFont="1" applyFill="1" applyBorder="1" applyAlignment="1">
      <alignment horizontal="center" wrapText="1"/>
    </xf>
    <xf numFmtId="49" fontId="30" fillId="36" borderId="9" xfId="19" applyNumberFormat="1" applyFont="1" applyFill="1" applyBorder="1" applyAlignment="1">
      <alignment horizontal="center" wrapText="1"/>
    </xf>
    <xf numFmtId="0" fontId="30" fillId="0" borderId="6" xfId="19" applyFont="1" applyBorder="1" applyAlignment="1">
      <alignment vertical="center"/>
    </xf>
    <xf numFmtId="49" fontId="30" fillId="36" borderId="6" xfId="4" applyNumberFormat="1" applyFont="1" applyFill="1" applyBorder="1" applyAlignment="1">
      <alignment horizontal="center"/>
    </xf>
    <xf numFmtId="0" fontId="30" fillId="0" borderId="6" xfId="4" applyFont="1" applyBorder="1">
      <alignment vertical="center"/>
    </xf>
    <xf numFmtId="0" fontId="115" fillId="0" borderId="6" xfId="19" applyFont="1" applyBorder="1" applyAlignment="1">
      <alignment horizontal="center" wrapText="1"/>
    </xf>
    <xf numFmtId="0" fontId="30" fillId="0" borderId="6" xfId="19" applyFont="1" applyBorder="1" applyAlignment="1">
      <alignment vertical="center" wrapText="1"/>
    </xf>
    <xf numFmtId="0" fontId="116" fillId="0" borderId="6" xfId="19" applyFont="1" applyBorder="1" applyAlignment="1">
      <alignment vertical="center"/>
    </xf>
    <xf numFmtId="0" fontId="30" fillId="0" borderId="9" xfId="19" applyFont="1" applyBorder="1" applyAlignment="1">
      <alignment vertical="center" wrapText="1"/>
    </xf>
    <xf numFmtId="0" fontId="15" fillId="28" borderId="0" xfId="4" applyFont="1" applyFill="1" applyProtection="1">
      <alignment vertical="center"/>
      <protection locked="0"/>
    </xf>
    <xf numFmtId="0" fontId="30" fillId="8" borderId="6" xfId="4" applyFont="1" applyFill="1" applyBorder="1">
      <alignment vertical="center"/>
    </xf>
    <xf numFmtId="0" fontId="30" fillId="31" borderId="6" xfId="4" applyFont="1" applyFill="1" applyBorder="1" applyAlignment="1">
      <alignment horizontal="center" vertical="center" wrapText="1"/>
    </xf>
    <xf numFmtId="0" fontId="30" fillId="28" borderId="0" xfId="4" applyFont="1" applyFill="1">
      <alignment vertical="center"/>
    </xf>
    <xf numFmtId="0" fontId="28" fillId="28" borderId="0" xfId="4" applyFont="1" applyFill="1" applyProtection="1">
      <alignment vertical="center"/>
      <protection locked="0"/>
    </xf>
    <xf numFmtId="0" fontId="30" fillId="8" borderId="36" xfId="4" applyFont="1" applyFill="1" applyBorder="1">
      <alignment vertical="center"/>
    </xf>
    <xf numFmtId="0" fontId="118" fillId="8" borderId="0" xfId="4" applyFont="1" applyFill="1">
      <alignment vertical="center"/>
    </xf>
    <xf numFmtId="0" fontId="117" fillId="8" borderId="36" xfId="4" applyFont="1" applyFill="1" applyBorder="1" applyAlignment="1">
      <alignment horizontal="center" vertical="center"/>
    </xf>
    <xf numFmtId="0" fontId="10" fillId="0" borderId="6" xfId="4" applyFont="1" applyBorder="1" applyAlignment="1" applyProtection="1">
      <alignment horizontal="center" vertical="center"/>
      <protection locked="0"/>
    </xf>
    <xf numFmtId="0" fontId="117" fillId="8" borderId="0" xfId="4" applyFont="1" applyFill="1" applyAlignment="1">
      <alignment horizontal="center" vertical="center"/>
    </xf>
    <xf numFmtId="0" fontId="28" fillId="28" borderId="0" xfId="4" applyFont="1" applyFill="1">
      <alignment vertical="center"/>
    </xf>
    <xf numFmtId="0" fontId="15" fillId="28" borderId="0" xfId="4" applyFont="1" applyFill="1" applyAlignment="1" applyProtection="1">
      <alignment horizontal="right" vertical="center"/>
      <protection locked="0"/>
    </xf>
    <xf numFmtId="0" fontId="5" fillId="0" borderId="9" xfId="4" applyFont="1" applyBorder="1" applyProtection="1">
      <alignment vertical="center"/>
      <protection locked="0"/>
    </xf>
    <xf numFmtId="49" fontId="5" fillId="0" borderId="9" xfId="4" applyNumberFormat="1" applyFont="1" applyBorder="1" applyProtection="1">
      <alignment vertical="center"/>
      <protection hidden="1"/>
    </xf>
    <xf numFmtId="0" fontId="5" fillId="0" borderId="195" xfId="4" applyFont="1" applyBorder="1" applyProtection="1">
      <alignment vertical="center"/>
      <protection hidden="1"/>
    </xf>
    <xf numFmtId="10" fontId="5" fillId="0" borderId="9" xfId="18" applyNumberFormat="1" applyFont="1" applyFill="1" applyBorder="1" applyProtection="1">
      <alignment vertical="center"/>
      <protection hidden="1"/>
    </xf>
    <xf numFmtId="0" fontId="5" fillId="0" borderId="10" xfId="4" applyFont="1" applyBorder="1" applyProtection="1">
      <alignment vertical="center"/>
      <protection hidden="1"/>
    </xf>
    <xf numFmtId="0" fontId="5" fillId="0" borderId="10" xfId="4" applyFont="1" applyBorder="1" applyProtection="1">
      <alignment vertical="center"/>
      <protection locked="0"/>
    </xf>
    <xf numFmtId="49" fontId="5" fillId="0" borderId="10" xfId="4" applyNumberFormat="1" applyFont="1" applyBorder="1" applyProtection="1">
      <alignment vertical="center"/>
      <protection hidden="1"/>
    </xf>
    <xf numFmtId="0" fontId="5" fillId="0" borderId="38" xfId="4" applyFont="1" applyBorder="1" applyProtection="1">
      <alignment vertical="center"/>
      <protection hidden="1"/>
    </xf>
    <xf numFmtId="0" fontId="17" fillId="0" borderId="6" xfId="0" applyFont="1" applyBorder="1" applyAlignment="1">
      <alignment horizontal="left" vertical="center" readingOrder="1"/>
    </xf>
    <xf numFmtId="0" fontId="17" fillId="0" borderId="6" xfId="4" applyFont="1" applyBorder="1" applyProtection="1">
      <alignment vertical="center"/>
      <protection hidden="1"/>
    </xf>
    <xf numFmtId="0" fontId="30" fillId="0" borderId="56" xfId="4" applyFont="1" applyBorder="1" applyAlignment="1">
      <alignment horizontal="center" vertical="center" shrinkToFit="1"/>
    </xf>
    <xf numFmtId="183" fontId="15" fillId="4" borderId="6" xfId="4" applyNumberFormat="1" applyFont="1" applyFill="1" applyBorder="1" applyAlignment="1" applyProtection="1">
      <alignment horizontal="right" vertical="center"/>
      <protection hidden="1"/>
    </xf>
    <xf numFmtId="0" fontId="11" fillId="0" borderId="0" xfId="4">
      <alignment vertical="center"/>
    </xf>
    <xf numFmtId="0" fontId="75" fillId="0" borderId="0" xfId="20" applyFont="1" applyAlignment="1">
      <alignment vertical="center"/>
    </xf>
    <xf numFmtId="0" fontId="75" fillId="0" borderId="0" xfId="4" applyFont="1">
      <alignment vertical="center"/>
    </xf>
    <xf numFmtId="0" fontId="23" fillId="0" borderId="0" xfId="4" applyFont="1">
      <alignment vertical="center"/>
    </xf>
    <xf numFmtId="0" fontId="76" fillId="0" borderId="0" xfId="4" applyFont="1" applyAlignment="1">
      <alignment horizontal="center" vertical="center" wrapText="1"/>
    </xf>
    <xf numFmtId="0" fontId="10" fillId="32" borderId="111" xfId="4" applyFont="1" applyFill="1" applyBorder="1" applyAlignment="1">
      <alignment horizontal="left" vertical="center"/>
    </xf>
    <xf numFmtId="0" fontId="11" fillId="0" borderId="0" xfId="4" applyAlignment="1">
      <alignment horizontal="left" vertical="center"/>
    </xf>
    <xf numFmtId="0" fontId="75" fillId="0" borderId="0" xfId="20" applyFont="1"/>
    <xf numFmtId="0" fontId="10" fillId="32" borderId="214" xfId="4" applyFont="1" applyFill="1" applyBorder="1" applyAlignment="1">
      <alignment horizontal="left" vertical="center"/>
    </xf>
    <xf numFmtId="0" fontId="10" fillId="32" borderId="112" xfId="4" applyFont="1" applyFill="1" applyBorder="1" applyAlignment="1">
      <alignment horizontal="left" vertical="center"/>
    </xf>
    <xf numFmtId="0" fontId="23" fillId="26" borderId="0" xfId="4" applyFont="1" applyFill="1">
      <alignment vertical="center"/>
    </xf>
    <xf numFmtId="0" fontId="19" fillId="0" borderId="0" xfId="4" applyFont="1" applyAlignment="1">
      <alignment horizontal="left" vertical="center"/>
    </xf>
    <xf numFmtId="0" fontId="19" fillId="0" borderId="0" xfId="4" applyFont="1">
      <alignment vertical="center"/>
    </xf>
    <xf numFmtId="0" fontId="77" fillId="0" borderId="0" xfId="4" applyFont="1">
      <alignment vertical="center"/>
    </xf>
    <xf numFmtId="0" fontId="79" fillId="32" borderId="6" xfId="4" applyFont="1" applyFill="1" applyBorder="1" applyAlignment="1">
      <alignment horizontal="center" vertical="center"/>
    </xf>
    <xf numFmtId="0" fontId="80" fillId="0" borderId="0" xfId="4" applyFont="1" applyAlignment="1">
      <alignment horizontal="left" vertical="center" wrapText="1"/>
    </xf>
    <xf numFmtId="0" fontId="78" fillId="0" borderId="0" xfId="4" applyFont="1" applyAlignment="1">
      <alignment horizontal="left" vertical="center" wrapText="1"/>
    </xf>
    <xf numFmtId="0" fontId="10" fillId="0" borderId="0" xfId="4" applyFont="1" applyAlignment="1">
      <alignment horizontal="center" vertical="center"/>
    </xf>
    <xf numFmtId="0" fontId="10" fillId="0" borderId="0" xfId="4" applyFont="1">
      <alignment vertical="center"/>
    </xf>
    <xf numFmtId="0" fontId="78" fillId="0" borderId="192" xfId="4" applyFont="1" applyBorder="1" applyAlignment="1">
      <alignment horizontal="left" vertical="center"/>
    </xf>
    <xf numFmtId="0" fontId="78" fillId="0" borderId="2" xfId="4" applyFont="1" applyBorder="1" applyAlignment="1">
      <alignment horizontal="left" vertical="center"/>
    </xf>
    <xf numFmtId="0" fontId="78" fillId="0" borderId="0" xfId="4" applyFont="1" applyAlignment="1">
      <alignment horizontal="left" vertical="center"/>
    </xf>
    <xf numFmtId="0" fontId="81" fillId="0" borderId="0" xfId="4" applyFont="1" applyAlignment="1">
      <alignment horizontal="left" vertical="center"/>
    </xf>
    <xf numFmtId="0" fontId="11" fillId="0" borderId="0" xfId="4" applyAlignment="1">
      <alignment horizontal="right" vertical="center"/>
    </xf>
    <xf numFmtId="0" fontId="10" fillId="0" borderId="6" xfId="4" applyFont="1" applyBorder="1" applyAlignment="1" applyProtection="1">
      <alignment vertical="center" wrapText="1"/>
      <protection locked="0"/>
    </xf>
    <xf numFmtId="0" fontId="30" fillId="0" borderId="10" xfId="19" applyFont="1" applyBorder="1" applyAlignment="1">
      <alignment vertical="center"/>
    </xf>
    <xf numFmtId="0" fontId="30" fillId="0" borderId="9" xfId="19" applyFont="1" applyBorder="1" applyAlignment="1">
      <alignment vertical="center"/>
    </xf>
    <xf numFmtId="0" fontId="30" fillId="0" borderId="11" xfId="19" applyFont="1" applyBorder="1" applyAlignment="1">
      <alignment vertical="center"/>
    </xf>
    <xf numFmtId="0" fontId="34" fillId="8" borderId="0" xfId="4" applyFont="1" applyFill="1">
      <alignment vertical="center"/>
    </xf>
    <xf numFmtId="0" fontId="28" fillId="4" borderId="0" xfId="4" applyFont="1" applyFill="1">
      <alignment vertical="center"/>
    </xf>
    <xf numFmtId="0" fontId="23" fillId="4" borderId="0" xfId="4" applyFont="1" applyFill="1">
      <alignment vertical="center"/>
    </xf>
    <xf numFmtId="0" fontId="19" fillId="30" borderId="6" xfId="2" applyFont="1" applyFill="1" applyBorder="1" applyAlignment="1">
      <alignment vertical="center"/>
    </xf>
    <xf numFmtId="0" fontId="39" fillId="0" borderId="193" xfId="4" applyFont="1" applyBorder="1" applyAlignment="1">
      <alignment vertical="center" shrinkToFit="1"/>
    </xf>
    <xf numFmtId="0" fontId="39" fillId="0" borderId="194" xfId="4" applyFont="1" applyBorder="1" applyAlignment="1">
      <alignment vertical="center" shrinkToFit="1"/>
    </xf>
    <xf numFmtId="0" fontId="29" fillId="0" borderId="194" xfId="4" applyFont="1" applyBorder="1" applyAlignment="1">
      <alignment horizontal="center" vertical="center" shrinkToFit="1"/>
    </xf>
    <xf numFmtId="0" fontId="29" fillId="0" borderId="196" xfId="4" applyFont="1" applyBorder="1" applyAlignment="1">
      <alignment horizontal="center" vertical="center" shrinkToFit="1"/>
    </xf>
    <xf numFmtId="0" fontId="30" fillId="0" borderId="60" xfId="4" applyFont="1" applyBorder="1" applyAlignment="1">
      <alignment horizontal="center" vertical="center" shrinkToFit="1"/>
    </xf>
    <xf numFmtId="0" fontId="34" fillId="0" borderId="208" xfId="4" applyFont="1" applyBorder="1" applyAlignment="1">
      <alignment horizontal="center" vertical="center" wrapText="1"/>
    </xf>
    <xf numFmtId="0" fontId="15" fillId="4" borderId="0" xfId="4" applyFont="1" applyFill="1" applyProtection="1">
      <alignment vertical="center"/>
      <protection locked="0"/>
    </xf>
    <xf numFmtId="0" fontId="30" fillId="0" borderId="0" xfId="4" applyFont="1" applyAlignment="1">
      <alignment horizontal="center" vertical="center" shrinkToFit="1"/>
    </xf>
    <xf numFmtId="0" fontId="30" fillId="0" borderId="0" xfId="10" applyNumberFormat="1" applyFont="1" applyFill="1" applyBorder="1" applyAlignment="1" applyProtection="1">
      <alignment horizontal="left" vertical="center" shrinkToFit="1"/>
    </xf>
    <xf numFmtId="0" fontId="73" fillId="0" borderId="0" xfId="10" applyNumberFormat="1" applyFont="1" applyFill="1" applyBorder="1" applyAlignment="1" applyProtection="1">
      <alignment horizontal="left" vertical="center" shrinkToFit="1"/>
    </xf>
    <xf numFmtId="0" fontId="40" fillId="0" borderId="0" xfId="10" applyNumberFormat="1" applyFont="1" applyFill="1" applyBorder="1" applyAlignment="1" applyProtection="1">
      <alignment horizontal="left" vertical="center" shrinkToFit="1"/>
    </xf>
    <xf numFmtId="0" fontId="39" fillId="0" borderId="0" xfId="4" applyFont="1" applyAlignment="1">
      <alignment horizontal="left" vertical="center" shrinkToFit="1"/>
    </xf>
    <xf numFmtId="0" fontId="39" fillId="0" borderId="34" xfId="4" applyFont="1" applyBorder="1" applyAlignment="1">
      <alignment horizontal="left" vertical="center" shrinkToFit="1"/>
    </xf>
    <xf numFmtId="0" fontId="39" fillId="0" borderId="208" xfId="4" applyFont="1" applyBorder="1" applyAlignment="1">
      <alignment horizontal="left" vertical="center" shrinkToFit="1"/>
    </xf>
    <xf numFmtId="49" fontId="30" fillId="0" borderId="136" xfId="4" applyNumberFormat="1" applyFont="1" applyBorder="1" applyAlignment="1">
      <alignment horizontal="center" vertical="center" shrinkToFit="1"/>
    </xf>
    <xf numFmtId="49" fontId="30" fillId="0" borderId="139" xfId="4" applyNumberFormat="1" applyFont="1" applyBorder="1" applyAlignment="1">
      <alignment horizontal="center" vertical="center" shrinkToFit="1"/>
    </xf>
    <xf numFmtId="6" fontId="63" fillId="0" borderId="40" xfId="13" applyFont="1" applyFill="1" applyBorder="1" applyAlignment="1" applyProtection="1">
      <alignment vertical="center"/>
    </xf>
    <xf numFmtId="6" fontId="34" fillId="0" borderId="40" xfId="13" applyFont="1" applyFill="1" applyBorder="1" applyAlignment="1" applyProtection="1">
      <alignment vertical="center" shrinkToFit="1"/>
    </xf>
    <xf numFmtId="0" fontId="23" fillId="0" borderId="6" xfId="2" applyFont="1" applyBorder="1" applyAlignment="1">
      <alignment vertical="center"/>
    </xf>
    <xf numFmtId="0" fontId="29" fillId="0" borderId="194" xfId="5" applyNumberFormat="1" applyFont="1" applyBorder="1" applyAlignment="1" applyProtection="1">
      <alignment horizontal="left" vertical="center" shrinkToFit="1"/>
    </xf>
    <xf numFmtId="0" fontId="29" fillId="0" borderId="131" xfId="5" applyNumberFormat="1" applyFont="1" applyBorder="1" applyAlignment="1" applyProtection="1">
      <alignment horizontal="left" vertical="center" shrinkToFit="1"/>
    </xf>
    <xf numFmtId="0" fontId="15" fillId="28" borderId="0" xfId="4" applyFont="1" applyFill="1" applyAlignment="1" applyProtection="1">
      <alignment horizontal="left" vertical="center"/>
      <protection locked="0"/>
    </xf>
    <xf numFmtId="0" fontId="15" fillId="0" borderId="6" xfId="4" applyFont="1" applyBorder="1" applyProtection="1">
      <alignment vertical="center"/>
      <protection locked="0"/>
    </xf>
    <xf numFmtId="0" fontId="15" fillId="0" borderId="6" xfId="4" applyFont="1" applyBorder="1" applyProtection="1">
      <alignment vertical="center"/>
      <protection hidden="1"/>
    </xf>
    <xf numFmtId="0" fontId="15" fillId="0" borderId="10" xfId="4" applyFont="1" applyBorder="1" applyProtection="1">
      <alignment vertical="center"/>
      <protection hidden="1"/>
    </xf>
    <xf numFmtId="0" fontId="15" fillId="0" borderId="11" xfId="4" applyFont="1" applyBorder="1" applyProtection="1">
      <alignment vertical="center"/>
      <protection hidden="1"/>
    </xf>
    <xf numFmtId="0" fontId="34" fillId="0" borderId="208" xfId="4" applyFont="1" applyBorder="1" applyAlignment="1">
      <alignment horizontal="center" vertical="center" shrinkToFit="1"/>
    </xf>
    <xf numFmtId="6" fontId="29" fillId="0" borderId="208" xfId="5" applyFont="1" applyBorder="1" applyAlignment="1" applyProtection="1">
      <alignment horizontal="left" vertical="center" shrinkToFit="1"/>
    </xf>
    <xf numFmtId="0" fontId="15" fillId="26" borderId="0" xfId="4" applyFont="1" applyFill="1" applyProtection="1">
      <alignment vertical="center"/>
      <protection locked="0"/>
    </xf>
    <xf numFmtId="0" fontId="31" fillId="59" borderId="0" xfId="4" applyFont="1" applyFill="1" applyProtection="1">
      <alignment vertical="center"/>
      <protection locked="0"/>
    </xf>
    <xf numFmtId="0" fontId="17" fillId="0" borderId="6" xfId="0" applyFont="1" applyBorder="1" applyAlignment="1">
      <alignment vertical="center" wrapText="1"/>
    </xf>
    <xf numFmtId="0" fontId="31" fillId="26" borderId="0" xfId="4" applyFont="1" applyFill="1" applyProtection="1">
      <alignment vertical="center"/>
      <protection locked="0"/>
    </xf>
    <xf numFmtId="0" fontId="30" fillId="0" borderId="242" xfId="4" applyFont="1" applyBorder="1" applyAlignment="1">
      <alignment vertical="center" shrinkToFit="1"/>
    </xf>
    <xf numFmtId="0" fontId="30" fillId="0" borderId="215" xfId="4" applyFont="1" applyBorder="1" applyAlignment="1">
      <alignment horizontal="center" vertical="center" shrinkToFit="1"/>
    </xf>
    <xf numFmtId="0" fontId="30" fillId="0" borderId="243" xfId="4" applyFont="1" applyBorder="1" applyAlignment="1">
      <alignment horizontal="center" vertical="center" shrinkToFit="1"/>
    </xf>
    <xf numFmtId="0" fontId="34" fillId="0" borderId="243" xfId="4" applyFont="1" applyBorder="1" applyAlignment="1">
      <alignment vertical="center" shrinkToFit="1"/>
    </xf>
    <xf numFmtId="0" fontId="34" fillId="0" borderId="244" xfId="4" applyFont="1" applyBorder="1" applyAlignment="1">
      <alignment vertical="center" shrinkToFit="1"/>
    </xf>
    <xf numFmtId="0" fontId="31" fillId="0" borderId="0" xfId="4" applyFont="1" applyAlignment="1" applyProtection="1">
      <alignment horizontal="left" vertical="center"/>
      <protection locked="0"/>
    </xf>
    <xf numFmtId="0" fontId="43" fillId="7" borderId="38" xfId="4" applyFont="1" applyFill="1" applyBorder="1" applyAlignment="1">
      <alignment vertical="center" wrapText="1"/>
    </xf>
    <xf numFmtId="0" fontId="43" fillId="7" borderId="54" xfId="4" applyFont="1" applyFill="1" applyBorder="1" applyAlignment="1">
      <alignment vertical="center" wrapText="1"/>
    </xf>
    <xf numFmtId="49" fontId="31" fillId="0" borderId="0" xfId="4" applyNumberFormat="1" applyFont="1" applyProtection="1">
      <alignment vertical="center"/>
      <protection hidden="1"/>
    </xf>
    <xf numFmtId="0" fontId="31" fillId="4" borderId="0" xfId="4" applyFont="1" applyFill="1" applyProtection="1">
      <alignment vertical="center"/>
      <protection locked="0"/>
    </xf>
    <xf numFmtId="0" fontId="34" fillId="0" borderId="36" xfId="4" applyFont="1" applyBorder="1" applyAlignment="1">
      <alignment horizontal="center" vertical="center" shrinkToFit="1"/>
    </xf>
    <xf numFmtId="0" fontId="34" fillId="0" borderId="194" xfId="4" applyFont="1" applyBorder="1" applyAlignment="1">
      <alignment horizontal="center" vertical="center" shrinkToFit="1"/>
    </xf>
    <xf numFmtId="0" fontId="42" fillId="2" borderId="4" xfId="4" applyFont="1" applyFill="1" applyBorder="1" applyAlignment="1">
      <alignment horizontal="center" vertical="center" shrinkToFit="1"/>
    </xf>
    <xf numFmtId="0" fontId="42" fillId="2" borderId="200" xfId="4" applyFont="1" applyFill="1" applyBorder="1" applyAlignment="1">
      <alignment horizontal="center" vertical="center" shrinkToFit="1"/>
    </xf>
    <xf numFmtId="6" fontId="29" fillId="0" borderId="194" xfId="5" applyFont="1" applyFill="1" applyBorder="1" applyAlignment="1" applyProtection="1">
      <alignment horizontal="left" vertical="center" shrinkToFit="1"/>
    </xf>
    <xf numFmtId="0" fontId="34" fillId="0" borderId="107" xfId="4" applyFont="1" applyBorder="1" applyAlignment="1" applyProtection="1">
      <alignment horizontal="center" vertical="center" shrinkToFit="1"/>
      <protection locked="0"/>
    </xf>
    <xf numFmtId="0" fontId="34" fillId="0" borderId="67" xfId="4" applyFont="1" applyBorder="1" applyAlignment="1" applyProtection="1">
      <alignment horizontal="center" vertical="center" shrinkToFit="1"/>
      <protection locked="0"/>
    </xf>
    <xf numFmtId="0" fontId="34" fillId="2" borderId="76" xfId="4" applyFont="1" applyFill="1" applyBorder="1" applyAlignment="1" applyProtection="1">
      <alignment horizontal="center" vertical="center" shrinkToFit="1"/>
      <protection locked="0"/>
    </xf>
    <xf numFmtId="6" fontId="29" fillId="0" borderId="131" xfId="5" applyFont="1" applyBorder="1" applyAlignment="1" applyProtection="1">
      <alignment horizontal="left" vertical="center" shrinkToFit="1"/>
      <protection locked="0"/>
    </xf>
    <xf numFmtId="0" fontId="34" fillId="2" borderId="19" xfId="4" applyFont="1" applyFill="1" applyBorder="1" applyAlignment="1" applyProtection="1">
      <alignment horizontal="center" vertical="center" shrinkToFit="1"/>
      <protection locked="0"/>
    </xf>
    <xf numFmtId="0" fontId="34" fillId="2" borderId="20" xfId="4" applyFont="1" applyFill="1" applyBorder="1" applyAlignment="1" applyProtection="1">
      <alignment horizontal="center" vertical="center" shrinkToFit="1"/>
      <protection locked="0"/>
    </xf>
    <xf numFmtId="0" fontId="29" fillId="0" borderId="20" xfId="4" applyFont="1" applyBorder="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6" fontId="29" fillId="0" borderId="131" xfId="5" applyFont="1" applyBorder="1" applyAlignment="1" applyProtection="1">
      <alignment horizontal="left" vertical="center" shrinkToFit="1"/>
    </xf>
    <xf numFmtId="0" fontId="42" fillId="2" borderId="36" xfId="4" applyFont="1" applyFill="1" applyBorder="1" applyAlignment="1">
      <alignment horizontal="center" vertical="center" shrinkToFit="1"/>
    </xf>
    <xf numFmtId="0" fontId="30" fillId="0" borderId="7" xfId="4" applyFont="1" applyBorder="1" applyAlignment="1">
      <alignment horizontal="center" vertical="center" shrinkToFit="1"/>
    </xf>
    <xf numFmtId="0" fontId="30" fillId="0" borderId="9" xfId="4" applyFont="1" applyBorder="1" applyAlignment="1">
      <alignment horizontal="center" vertical="center" shrinkToFit="1"/>
    </xf>
    <xf numFmtId="0" fontId="15" fillId="26" borderId="0" xfId="4" applyFont="1" applyFill="1" applyAlignment="1" applyProtection="1">
      <alignment horizontal="left" vertical="center"/>
      <protection locked="0" hidden="1"/>
    </xf>
    <xf numFmtId="0" fontId="34" fillId="0" borderId="193" xfId="4" applyFont="1" applyBorder="1" applyAlignment="1">
      <alignment horizontal="center" vertical="center" shrinkToFit="1"/>
    </xf>
    <xf numFmtId="0" fontId="34" fillId="0" borderId="8" xfId="4" applyFont="1" applyBorder="1" applyAlignment="1">
      <alignment horizontal="center" vertical="center" shrinkToFit="1"/>
    </xf>
    <xf numFmtId="0" fontId="5" fillId="0" borderId="6" xfId="4" applyFont="1" applyBorder="1" applyAlignment="1" applyProtection="1">
      <alignment vertical="center" shrinkToFit="1"/>
      <protection hidden="1"/>
    </xf>
    <xf numFmtId="0" fontId="34" fillId="0" borderId="5" xfId="4" applyFont="1" applyBorder="1" applyAlignment="1">
      <alignment horizontal="center" vertical="center" shrinkToFit="1"/>
    </xf>
    <xf numFmtId="0" fontId="15" fillId="0" borderId="194" xfId="4" applyFont="1" applyBorder="1" applyProtection="1">
      <alignment vertical="center"/>
      <protection locked="0"/>
    </xf>
    <xf numFmtId="0" fontId="29" fillId="0" borderId="193" xfId="4" applyFont="1" applyBorder="1">
      <alignment vertical="center"/>
    </xf>
    <xf numFmtId="0" fontId="15" fillId="26" borderId="36" xfId="4" applyFont="1" applyFill="1" applyBorder="1" applyProtection="1">
      <alignment vertical="center"/>
      <protection locked="0"/>
    </xf>
    <xf numFmtId="0" fontId="31" fillId="0" borderId="6" xfId="4" applyFont="1" applyBorder="1" applyProtection="1">
      <alignment vertical="center"/>
      <protection locked="0"/>
    </xf>
    <xf numFmtId="49" fontId="31" fillId="0" borderId="6" xfId="4" applyNumberFormat="1" applyFont="1" applyBorder="1" applyProtection="1">
      <alignment vertical="center"/>
      <protection locked="0"/>
    </xf>
    <xf numFmtId="0" fontId="31" fillId="0" borderId="6" xfId="4" applyFont="1" applyBorder="1" applyProtection="1">
      <alignment vertical="center"/>
      <protection hidden="1"/>
    </xf>
    <xf numFmtId="0" fontId="31" fillId="0" borderId="10" xfId="4" applyFont="1" applyBorder="1" applyProtection="1">
      <alignment vertical="center"/>
      <protection locked="0"/>
    </xf>
    <xf numFmtId="0" fontId="31" fillId="0" borderId="9" xfId="4" applyFont="1" applyBorder="1" applyProtection="1">
      <alignment vertical="center"/>
      <protection locked="0"/>
    </xf>
    <xf numFmtId="0" fontId="31" fillId="0" borderId="8" xfId="4" applyFont="1" applyBorder="1" applyProtection="1">
      <alignment vertical="center"/>
      <protection locked="0"/>
    </xf>
    <xf numFmtId="0" fontId="31" fillId="0" borderId="11" xfId="4" applyFont="1" applyBorder="1" applyProtection="1">
      <alignment vertical="center"/>
      <protection locked="0"/>
    </xf>
    <xf numFmtId="0" fontId="31" fillId="0" borderId="8" xfId="4" applyFont="1" applyBorder="1" applyProtection="1">
      <alignment vertical="center"/>
      <protection hidden="1"/>
    </xf>
    <xf numFmtId="0" fontId="31" fillId="0" borderId="10" xfId="4" applyFont="1" applyBorder="1" applyProtection="1">
      <alignment vertical="center"/>
      <protection hidden="1"/>
    </xf>
    <xf numFmtId="0" fontId="31" fillId="0" borderId="5" xfId="4" applyFont="1" applyBorder="1" applyProtection="1">
      <alignment vertical="center"/>
      <protection hidden="1"/>
    </xf>
    <xf numFmtId="0" fontId="31" fillId="0" borderId="11" xfId="4" applyFont="1" applyBorder="1" applyProtection="1">
      <alignment vertical="center"/>
      <protection hidden="1"/>
    </xf>
    <xf numFmtId="6" fontId="28" fillId="0" borderId="18" xfId="5" applyFont="1" applyFill="1" applyBorder="1" applyProtection="1">
      <alignment vertical="center"/>
    </xf>
    <xf numFmtId="0" fontId="53" fillId="0" borderId="101" xfId="4" applyFont="1" applyBorder="1">
      <alignment vertical="center"/>
    </xf>
    <xf numFmtId="0" fontId="30" fillId="0" borderId="102" xfId="4" applyFont="1" applyBorder="1">
      <alignment vertical="center"/>
    </xf>
    <xf numFmtId="0" fontId="41" fillId="0" borderId="102" xfId="4" applyFont="1" applyBorder="1">
      <alignment vertical="center"/>
    </xf>
    <xf numFmtId="6" fontId="28" fillId="0" borderId="103" xfId="5" applyFont="1" applyFill="1" applyBorder="1" applyProtection="1">
      <alignment vertical="center"/>
    </xf>
    <xf numFmtId="0" fontId="34" fillId="0" borderId="31" xfId="4" applyFont="1" applyBorder="1" applyAlignment="1">
      <alignment vertical="center" wrapText="1"/>
    </xf>
    <xf numFmtId="0" fontId="34" fillId="0" borderId="0" xfId="4" applyFont="1" applyAlignment="1">
      <alignment vertical="center" wrapText="1"/>
    </xf>
    <xf numFmtId="0" fontId="34" fillId="0" borderId="40" xfId="4" applyFont="1" applyBorder="1" applyAlignment="1">
      <alignment vertical="center" wrapText="1"/>
    </xf>
    <xf numFmtId="0" fontId="34" fillId="0" borderId="0" xfId="4" applyFont="1" applyAlignment="1">
      <alignment horizontal="left" vertical="center"/>
    </xf>
    <xf numFmtId="0" fontId="34" fillId="0" borderId="40" xfId="4" applyFont="1" applyBorder="1" applyAlignment="1">
      <alignment horizontal="left" vertical="center"/>
    </xf>
    <xf numFmtId="0" fontId="30" fillId="0" borderId="146" xfId="4" applyFont="1" applyBorder="1" applyAlignment="1">
      <alignment vertical="center" shrinkToFit="1"/>
    </xf>
    <xf numFmtId="0" fontId="30" fillId="0" borderId="145" xfId="4" applyFont="1" applyBorder="1" applyAlignment="1">
      <alignment vertical="center" shrinkToFit="1"/>
    </xf>
    <xf numFmtId="0" fontId="34" fillId="2" borderId="200" xfId="4" applyFont="1" applyFill="1" applyBorder="1" applyAlignment="1">
      <alignment horizontal="center" vertical="center" shrinkToFit="1"/>
    </xf>
    <xf numFmtId="0" fontId="34" fillId="0" borderId="40" xfId="4" applyFont="1" applyBorder="1" applyAlignment="1">
      <alignment vertical="top"/>
    </xf>
    <xf numFmtId="0" fontId="34" fillId="0" borderId="41" xfId="4" applyFont="1" applyBorder="1" applyAlignment="1">
      <alignment vertical="top"/>
    </xf>
    <xf numFmtId="0" fontId="36" fillId="8" borderId="42" xfId="4" applyFont="1" applyFill="1" applyBorder="1" applyAlignment="1">
      <alignment vertical="top"/>
    </xf>
    <xf numFmtId="0" fontId="34" fillId="8" borderId="0" xfId="4" applyFont="1" applyFill="1" applyAlignment="1">
      <alignment horizontal="left" vertical="center" shrinkToFit="1"/>
    </xf>
    <xf numFmtId="0" fontId="34" fillId="8" borderId="34" xfId="4" applyFont="1" applyFill="1" applyBorder="1" applyAlignment="1">
      <alignment horizontal="left" vertical="center" shrinkToFit="1"/>
    </xf>
    <xf numFmtId="0" fontId="34" fillId="0" borderId="42" xfId="4" applyFont="1" applyBorder="1" applyAlignment="1">
      <alignment horizontal="left" vertical="center"/>
    </xf>
    <xf numFmtId="0" fontId="36" fillId="8" borderId="40" xfId="4" applyFont="1" applyFill="1" applyBorder="1" applyAlignment="1">
      <alignment horizontal="left" vertical="center"/>
    </xf>
    <xf numFmtId="0" fontId="36" fillId="8" borderId="40" xfId="4" applyFont="1" applyFill="1" applyBorder="1" applyAlignment="1">
      <alignment horizontal="left" vertical="center" wrapText="1" shrinkToFit="1"/>
    </xf>
    <xf numFmtId="0" fontId="36" fillId="8" borderId="41" xfId="4" applyFont="1" applyFill="1" applyBorder="1" applyAlignment="1">
      <alignment horizontal="left" vertical="center" wrapText="1" shrinkToFit="1"/>
    </xf>
    <xf numFmtId="0" fontId="36" fillId="8" borderId="43" xfId="4" applyFont="1" applyFill="1" applyBorder="1" applyAlignment="1">
      <alignment horizontal="left" vertical="center" wrapText="1" shrinkToFit="1"/>
    </xf>
    <xf numFmtId="0" fontId="36" fillId="8" borderId="42" xfId="4" applyFont="1" applyFill="1" applyBorder="1" applyAlignment="1">
      <alignment horizontal="left" vertical="center" wrapText="1" shrinkToFit="1"/>
    </xf>
    <xf numFmtId="0" fontId="34" fillId="0" borderId="8" xfId="4" applyFont="1" applyBorder="1" applyAlignment="1">
      <alignment horizontal="left" vertical="center"/>
    </xf>
    <xf numFmtId="0" fontId="34" fillId="8" borderId="38" xfId="4" applyFont="1" applyFill="1" applyBorder="1" applyAlignment="1">
      <alignment horizontal="left" vertical="center" shrinkToFit="1"/>
    </xf>
    <xf numFmtId="0" fontId="34" fillId="8" borderId="8" xfId="4" applyFont="1" applyFill="1" applyBorder="1" applyAlignment="1">
      <alignment horizontal="left" vertical="center" shrinkToFit="1"/>
    </xf>
    <xf numFmtId="0" fontId="34" fillId="8" borderId="40" xfId="4" applyFont="1" applyFill="1" applyBorder="1" applyAlignment="1">
      <alignment vertical="center" shrinkToFit="1"/>
    </xf>
    <xf numFmtId="0" fontId="34" fillId="8" borderId="43" xfId="4" applyFont="1" applyFill="1" applyBorder="1" applyAlignment="1">
      <alignment vertical="center" shrinkToFit="1"/>
    </xf>
    <xf numFmtId="0" fontId="39" fillId="0" borderId="8" xfId="4" applyFont="1" applyBorder="1" applyAlignment="1" applyProtection="1">
      <alignment horizontal="left" vertical="center" shrinkToFit="1"/>
      <protection locked="0"/>
    </xf>
    <xf numFmtId="0" fontId="34" fillId="0" borderId="4" xfId="4" applyFont="1" applyBorder="1" applyAlignment="1" applyProtection="1">
      <alignment horizontal="center" vertical="center" shrinkToFit="1"/>
      <protection locked="0"/>
    </xf>
    <xf numFmtId="49" fontId="61" fillId="15" borderId="0" xfId="0" applyNumberFormat="1" applyFont="1" applyFill="1" applyProtection="1">
      <alignment vertical="center"/>
      <protection locked="0"/>
    </xf>
    <xf numFmtId="49" fontId="61" fillId="15" borderId="0" xfId="0" applyNumberFormat="1" applyFont="1" applyFill="1">
      <alignment vertical="center"/>
    </xf>
    <xf numFmtId="49" fontId="61" fillId="0" borderId="0" xfId="0" applyNumberFormat="1" applyFont="1" applyProtection="1">
      <alignment vertical="center"/>
      <protection locked="0"/>
    </xf>
    <xf numFmtId="0" fontId="61" fillId="0" borderId="0" xfId="0" applyFont="1" applyProtection="1">
      <alignment vertical="center"/>
      <protection locked="0"/>
    </xf>
    <xf numFmtId="49" fontId="61" fillId="0" borderId="0" xfId="0" applyNumberFormat="1" applyFont="1">
      <alignment vertical="center"/>
    </xf>
    <xf numFmtId="0" fontId="5" fillId="0" borderId="0" xfId="0" applyFont="1" applyProtection="1">
      <alignment vertical="center"/>
      <protection locked="0"/>
    </xf>
    <xf numFmtId="49" fontId="61" fillId="0" borderId="0" xfId="4" applyNumberFormat="1" applyFont="1" applyProtection="1">
      <alignment vertical="center"/>
      <protection hidden="1"/>
    </xf>
    <xf numFmtId="6" fontId="55" fillId="0" borderId="40" xfId="13" applyFont="1" applyFill="1" applyBorder="1" applyAlignment="1" applyProtection="1">
      <alignment vertical="center"/>
    </xf>
    <xf numFmtId="6" fontId="129" fillId="0" borderId="40" xfId="5" applyFont="1" applyBorder="1" applyAlignment="1" applyProtection="1">
      <alignment horizontal="left" vertical="center"/>
    </xf>
    <xf numFmtId="0" fontId="60" fillId="0" borderId="31" xfId="4" applyFont="1" applyBorder="1" applyAlignment="1">
      <alignment vertical="center" shrinkToFit="1"/>
    </xf>
    <xf numFmtId="0" fontId="115" fillId="0" borderId="0" xfId="4" applyFont="1" applyAlignment="1">
      <alignment horizontal="left" vertical="center"/>
    </xf>
    <xf numFmtId="0" fontId="60" fillId="0" borderId="252" xfId="4" applyFont="1" applyBorder="1" applyAlignment="1">
      <alignment vertical="center" shrinkToFit="1"/>
    </xf>
    <xf numFmtId="0" fontId="60" fillId="0" borderId="99" xfId="4" applyFont="1" applyBorder="1" applyAlignment="1">
      <alignment vertical="center" shrinkToFit="1"/>
    </xf>
    <xf numFmtId="0" fontId="60" fillId="0" borderId="104" xfId="4" applyFont="1" applyBorder="1" applyAlignment="1">
      <alignment vertical="center" shrinkToFit="1"/>
    </xf>
    <xf numFmtId="0" fontId="34" fillId="0" borderId="34" xfId="4" applyFont="1" applyBorder="1">
      <alignment vertical="center"/>
    </xf>
    <xf numFmtId="0" fontId="34" fillId="0" borderId="43" xfId="4" applyFont="1" applyBorder="1">
      <alignment vertical="center"/>
    </xf>
    <xf numFmtId="184" fontId="30" fillId="0" borderId="0" xfId="5" applyNumberFormat="1" applyFont="1" applyFill="1" applyBorder="1" applyAlignment="1" applyProtection="1">
      <alignment vertical="center"/>
    </xf>
    <xf numFmtId="49" fontId="28" fillId="0" borderId="0" xfId="13" applyNumberFormat="1" applyFont="1" applyFill="1" applyBorder="1" applyAlignment="1" applyProtection="1">
      <alignment vertical="center"/>
    </xf>
    <xf numFmtId="49" fontId="28" fillId="0" borderId="34" xfId="13" applyNumberFormat="1" applyFont="1" applyFill="1" applyBorder="1" applyAlignment="1" applyProtection="1">
      <alignment vertical="center"/>
    </xf>
    <xf numFmtId="0" fontId="34" fillId="0" borderId="208" xfId="4" applyFont="1" applyBorder="1" applyAlignment="1">
      <alignment vertical="center" shrinkToFit="1"/>
    </xf>
    <xf numFmtId="0" fontId="34" fillId="2" borderId="245" xfId="4" applyFont="1" applyFill="1" applyBorder="1" applyAlignment="1">
      <alignment horizontal="center" vertical="center" shrinkToFit="1"/>
    </xf>
    <xf numFmtId="0" fontId="29" fillId="0" borderId="245" xfId="4" applyFont="1" applyBorder="1">
      <alignment vertical="center"/>
    </xf>
    <xf numFmtId="6" fontId="29" fillId="0" borderId="245" xfId="5" applyFont="1" applyBorder="1" applyAlignment="1" applyProtection="1">
      <alignment horizontal="left" vertical="center" shrinkToFit="1"/>
    </xf>
    <xf numFmtId="0" fontId="41" fillId="0" borderId="23" xfId="4" applyFont="1" applyBorder="1" applyAlignment="1">
      <alignment vertical="center" shrinkToFit="1"/>
    </xf>
    <xf numFmtId="0" fontId="0" fillId="0" borderId="23" xfId="0" applyBorder="1" applyAlignment="1">
      <alignment vertical="center" shrinkToFit="1"/>
    </xf>
    <xf numFmtId="0" fontId="0" fillId="0" borderId="246" xfId="0" applyBorder="1" applyAlignment="1">
      <alignment vertical="center" shrinkToFit="1"/>
    </xf>
    <xf numFmtId="0" fontId="34" fillId="0" borderId="192" xfId="4" applyFont="1" applyBorder="1" applyAlignment="1">
      <alignment vertical="center" shrinkToFit="1"/>
    </xf>
    <xf numFmtId="0" fontId="34" fillId="0" borderId="77" xfId="4" applyFont="1" applyBorder="1" applyAlignment="1">
      <alignment vertical="center" shrinkToFit="1"/>
    </xf>
    <xf numFmtId="0" fontId="43" fillId="0" borderId="166" xfId="4" applyFont="1" applyBorder="1" applyAlignment="1">
      <alignment horizontal="left" vertical="center"/>
    </xf>
    <xf numFmtId="0" fontId="5" fillId="0" borderId="6" xfId="4" applyFont="1" applyBorder="1" applyProtection="1">
      <alignment vertical="center"/>
      <protection locked="0" hidden="1"/>
    </xf>
    <xf numFmtId="0" fontId="5" fillId="2" borderId="6" xfId="4" applyFont="1" applyFill="1" applyBorder="1" applyAlignment="1" applyProtection="1">
      <alignment vertical="center" shrinkToFit="1"/>
      <protection hidden="1"/>
    </xf>
    <xf numFmtId="0" fontId="5" fillId="2" borderId="6" xfId="4" applyFont="1" applyFill="1" applyBorder="1" applyAlignment="1" applyProtection="1">
      <alignment horizontal="right" vertical="center" shrinkToFit="1"/>
      <protection hidden="1"/>
    </xf>
    <xf numFmtId="6" fontId="5" fillId="5" borderId="6" xfId="13" applyFont="1" applyFill="1" applyBorder="1" applyAlignment="1" applyProtection="1">
      <alignment vertical="center" shrinkToFit="1"/>
      <protection hidden="1"/>
    </xf>
    <xf numFmtId="10" fontId="5" fillId="5" borderId="6" xfId="18" applyNumberFormat="1" applyFont="1" applyFill="1" applyBorder="1" applyAlignment="1" applyProtection="1">
      <alignment vertical="center" shrinkToFit="1"/>
      <protection hidden="1"/>
    </xf>
    <xf numFmtId="0" fontId="5" fillId="0" borderId="6" xfId="4" applyFont="1" applyBorder="1" applyAlignment="1" applyProtection="1">
      <alignment horizontal="right" vertical="center" shrinkToFit="1"/>
      <protection hidden="1"/>
    </xf>
    <xf numFmtId="49" fontId="17" fillId="0" borderId="6" xfId="4" applyNumberFormat="1" applyFont="1" applyBorder="1" applyAlignment="1"/>
    <xf numFmtId="49" fontId="17" fillId="0" borderId="6" xfId="4" applyNumberFormat="1" applyFont="1" applyBorder="1" applyAlignment="1">
      <alignment horizontal="left"/>
    </xf>
    <xf numFmtId="0" fontId="17" fillId="0" borderId="6" xfId="4" applyFont="1" applyBorder="1" applyAlignment="1" applyProtection="1">
      <protection hidden="1"/>
    </xf>
    <xf numFmtId="0" fontId="17" fillId="4" borderId="6" xfId="4" applyFont="1" applyFill="1" applyBorder="1" applyAlignment="1" applyProtection="1">
      <protection hidden="1"/>
    </xf>
    <xf numFmtId="0" fontId="20" fillId="0" borderId="6" xfId="4" applyFont="1" applyBorder="1" applyAlignment="1" applyProtection="1">
      <protection hidden="1"/>
    </xf>
    <xf numFmtId="49" fontId="20" fillId="0" borderId="6" xfId="4" applyNumberFormat="1" applyFont="1" applyBorder="1" applyAlignment="1"/>
    <xf numFmtId="49" fontId="20" fillId="0" borderId="6" xfId="4" applyNumberFormat="1" applyFont="1" applyBorder="1" applyAlignment="1">
      <alignment horizontal="left"/>
    </xf>
    <xf numFmtId="0" fontId="20" fillId="4" borderId="6" xfId="4" applyFont="1" applyFill="1" applyBorder="1" applyAlignment="1" applyProtection="1">
      <protection hidden="1"/>
    </xf>
    <xf numFmtId="0" fontId="20" fillId="30" borderId="2" xfId="4" applyFont="1" applyFill="1" applyBorder="1" applyAlignment="1" applyProtection="1">
      <alignment horizontal="right" vertical="center"/>
      <protection hidden="1"/>
    </xf>
    <xf numFmtId="0" fontId="17" fillId="0" borderId="2" xfId="4" applyFont="1" applyBorder="1" applyProtection="1">
      <alignment vertical="center"/>
      <protection hidden="1"/>
    </xf>
    <xf numFmtId="0" fontId="20" fillId="0" borderId="6" xfId="4" applyFont="1" applyBorder="1" applyProtection="1">
      <alignment vertical="center"/>
      <protection hidden="1"/>
    </xf>
    <xf numFmtId="0" fontId="20" fillId="4" borderId="6" xfId="4" applyFont="1" applyFill="1" applyBorder="1" applyAlignment="1" applyProtection="1">
      <alignment horizontal="right" vertical="center"/>
      <protection hidden="1"/>
    </xf>
    <xf numFmtId="6" fontId="5" fillId="0" borderId="6" xfId="13" applyFont="1" applyFill="1" applyBorder="1" applyAlignment="1" applyProtection="1">
      <alignment vertical="center" shrinkToFit="1"/>
      <protection hidden="1"/>
    </xf>
    <xf numFmtId="6" fontId="15" fillId="0" borderId="6" xfId="13" applyFont="1" applyFill="1" applyBorder="1" applyAlignment="1" applyProtection="1">
      <alignment vertical="center" shrinkToFit="1"/>
      <protection hidden="1"/>
    </xf>
    <xf numFmtId="6" fontId="5" fillId="0" borderId="0" xfId="4" applyNumberFormat="1" applyFont="1" applyAlignment="1" applyProtection="1">
      <alignment vertical="center" shrinkToFit="1"/>
      <protection locked="0"/>
    </xf>
    <xf numFmtId="0" fontId="34" fillId="0" borderId="63" xfId="4" applyFont="1" applyBorder="1">
      <alignment vertical="center"/>
    </xf>
    <xf numFmtId="0" fontId="34" fillId="0" borderId="32" xfId="4" applyFont="1" applyBorder="1">
      <alignment vertical="center"/>
    </xf>
    <xf numFmtId="0" fontId="34" fillId="0" borderId="8" xfId="4" applyFont="1" applyBorder="1">
      <alignment vertical="center"/>
    </xf>
    <xf numFmtId="0" fontId="34" fillId="8" borderId="0" xfId="4" applyFont="1" applyFill="1" applyAlignment="1">
      <alignment vertical="center" wrapText="1" shrinkToFit="1"/>
    </xf>
    <xf numFmtId="0" fontId="36" fillId="8" borderId="40" xfId="4" applyFont="1" applyFill="1" applyBorder="1">
      <alignment vertical="center"/>
    </xf>
    <xf numFmtId="0" fontId="31" fillId="0" borderId="193" xfId="4" applyFont="1" applyBorder="1" applyProtection="1">
      <alignment vertical="center"/>
      <protection locked="0"/>
    </xf>
    <xf numFmtId="0" fontId="31" fillId="0" borderId="5" xfId="4" applyFont="1" applyBorder="1" applyProtection="1">
      <alignment vertical="center"/>
      <protection locked="0"/>
    </xf>
    <xf numFmtId="49" fontId="31" fillId="0" borderId="9" xfId="4" applyNumberFormat="1" applyFont="1" applyBorder="1" applyProtection="1">
      <alignment vertical="center"/>
      <protection locked="0"/>
    </xf>
    <xf numFmtId="49" fontId="31" fillId="0" borderId="193" xfId="4" applyNumberFormat="1" applyFont="1" applyBorder="1" applyProtection="1">
      <alignment vertical="center"/>
      <protection locked="0"/>
    </xf>
    <xf numFmtId="0" fontId="31" fillId="0" borderId="54" xfId="4" applyFont="1" applyBorder="1" applyProtection="1">
      <alignment vertical="center"/>
      <protection locked="0"/>
    </xf>
    <xf numFmtId="0" fontId="31" fillId="0" borderId="36" xfId="4" applyFont="1" applyBorder="1" applyProtection="1">
      <alignment vertical="center"/>
      <protection hidden="1"/>
    </xf>
    <xf numFmtId="0" fontId="31" fillId="0" borderId="38" xfId="4" applyFont="1" applyBorder="1" applyProtection="1">
      <alignment vertical="center"/>
      <protection locked="0"/>
    </xf>
    <xf numFmtId="49" fontId="31" fillId="0" borderId="6" xfId="4" applyNumberFormat="1" applyFont="1" applyBorder="1" applyProtection="1">
      <alignment vertical="center"/>
      <protection hidden="1"/>
    </xf>
    <xf numFmtId="0" fontId="28" fillId="0" borderId="6" xfId="0" applyFont="1" applyBorder="1">
      <alignment vertical="center"/>
    </xf>
    <xf numFmtId="0" fontId="28" fillId="0" borderId="6" xfId="2" applyFont="1" applyBorder="1" applyAlignment="1">
      <alignment vertical="center"/>
    </xf>
    <xf numFmtId="0" fontId="31" fillId="0" borderId="9" xfId="4" applyFont="1" applyBorder="1" applyProtection="1">
      <alignment vertical="center"/>
      <protection hidden="1"/>
    </xf>
    <xf numFmtId="0" fontId="31" fillId="0" borderId="193" xfId="4" applyFont="1" applyBorder="1" applyProtection="1">
      <alignment vertical="center"/>
      <protection hidden="1"/>
    </xf>
    <xf numFmtId="49" fontId="31" fillId="0" borderId="193" xfId="4" applyNumberFormat="1" applyFont="1" applyBorder="1" applyProtection="1">
      <alignment vertical="center"/>
      <protection hidden="1"/>
    </xf>
    <xf numFmtId="0" fontId="28" fillId="0" borderId="9" xfId="0" applyFont="1" applyBorder="1">
      <alignment vertical="center"/>
    </xf>
    <xf numFmtId="0" fontId="28" fillId="0" borderId="9" xfId="2" applyFont="1" applyBorder="1" applyAlignment="1">
      <alignment vertical="center"/>
    </xf>
    <xf numFmtId="49" fontId="31" fillId="0" borderId="10" xfId="4" applyNumberFormat="1" applyFont="1" applyBorder="1" applyProtection="1">
      <alignment vertical="center"/>
      <protection locked="0"/>
    </xf>
    <xf numFmtId="49" fontId="31" fillId="0" borderId="5" xfId="4" applyNumberFormat="1" applyFont="1" applyBorder="1" applyProtection="1">
      <alignment vertical="center"/>
      <protection hidden="1"/>
    </xf>
    <xf numFmtId="0" fontId="28" fillId="0" borderId="10" xfId="0" applyFont="1" applyBorder="1">
      <alignment vertical="center"/>
    </xf>
    <xf numFmtId="0" fontId="28" fillId="0" borderId="10" xfId="2" applyFont="1" applyBorder="1" applyAlignment="1">
      <alignment vertical="center"/>
    </xf>
    <xf numFmtId="49" fontId="31" fillId="0" borderId="11" xfId="4" applyNumberFormat="1" applyFont="1" applyBorder="1" applyProtection="1">
      <alignment vertical="center"/>
      <protection locked="0"/>
    </xf>
    <xf numFmtId="0" fontId="28" fillId="0" borderId="11" xfId="0" applyFont="1" applyBorder="1">
      <alignment vertical="center"/>
    </xf>
    <xf numFmtId="0" fontId="28" fillId="0" borderId="11" xfId="4" applyFont="1" applyBorder="1" applyProtection="1">
      <alignment vertical="center"/>
      <protection hidden="1"/>
    </xf>
    <xf numFmtId="49" fontId="31" fillId="0" borderId="0" xfId="4" applyNumberFormat="1" applyFont="1" applyProtection="1">
      <alignment vertical="center"/>
      <protection locked="0"/>
    </xf>
    <xf numFmtId="0" fontId="30" fillId="0" borderId="0" xfId="2" applyFont="1" applyAlignment="1">
      <alignment vertical="center"/>
    </xf>
    <xf numFmtId="0" fontId="43" fillId="0" borderId="0" xfId="0" quotePrefix="1" applyFont="1">
      <alignment vertical="center"/>
    </xf>
    <xf numFmtId="0" fontId="30" fillId="0" borderId="0" xfId="2" applyFont="1"/>
    <xf numFmtId="0" fontId="133" fillId="0" borderId="0" xfId="0" applyFont="1">
      <alignment vertical="center"/>
    </xf>
    <xf numFmtId="0" fontId="134" fillId="0" borderId="0" xfId="2" applyFont="1" applyAlignment="1">
      <alignment vertical="center"/>
    </xf>
    <xf numFmtId="0" fontId="133" fillId="0" borderId="0" xfId="4" applyFont="1" applyProtection="1">
      <alignment vertical="center"/>
      <protection hidden="1"/>
    </xf>
    <xf numFmtId="10" fontId="30" fillId="0" borderId="0" xfId="6" applyNumberFormat="1" applyFont="1" applyFill="1" applyBorder="1" applyAlignment="1" applyProtection="1">
      <alignment vertical="center" shrinkToFit="1"/>
    </xf>
    <xf numFmtId="6" fontId="30" fillId="0" borderId="0" xfId="13" applyFont="1" applyFill="1" applyBorder="1" applyAlignment="1" applyProtection="1">
      <alignment vertical="center" shrinkToFit="1"/>
    </xf>
    <xf numFmtId="0" fontId="15" fillId="0" borderId="36" xfId="4" applyFont="1" applyBorder="1" applyAlignment="1" applyProtection="1">
      <alignment horizontal="left" vertical="center"/>
      <protection locked="0"/>
    </xf>
    <xf numFmtId="0" fontId="34" fillId="0" borderId="8" xfId="4" applyFont="1" applyBorder="1" applyAlignment="1">
      <alignment vertical="center" shrinkToFit="1"/>
    </xf>
    <xf numFmtId="0" fontId="34" fillId="0" borderId="0" xfId="4" applyFont="1" applyAlignment="1">
      <alignment vertical="center" shrinkToFit="1"/>
    </xf>
    <xf numFmtId="0" fontId="5" fillId="0" borderId="36" xfId="4" applyFont="1" applyBorder="1" applyProtection="1">
      <alignment vertical="center"/>
      <protection locked="0"/>
    </xf>
    <xf numFmtId="0" fontId="5" fillId="0" borderId="36" xfId="4" applyFont="1" applyBorder="1" applyProtection="1">
      <alignment vertical="center"/>
      <protection hidden="1"/>
    </xf>
    <xf numFmtId="6" fontId="5" fillId="0" borderId="36" xfId="13" applyFont="1" applyFill="1" applyBorder="1" applyAlignment="1" applyProtection="1">
      <alignment vertical="center" shrinkToFit="1"/>
      <protection hidden="1"/>
    </xf>
    <xf numFmtId="0" fontId="5" fillId="0" borderId="194" xfId="4" applyFont="1" applyBorder="1" applyProtection="1">
      <alignment vertical="center"/>
      <protection hidden="1"/>
    </xf>
    <xf numFmtId="49" fontId="5" fillId="0" borderId="194" xfId="4" applyNumberFormat="1" applyFont="1" applyBorder="1" applyProtection="1">
      <alignment vertical="center"/>
      <protection hidden="1"/>
    </xf>
    <xf numFmtId="0" fontId="5" fillId="0" borderId="194" xfId="4" applyFont="1" applyBorder="1" applyProtection="1">
      <alignment vertical="center"/>
      <protection locked="0" hidden="1"/>
    </xf>
    <xf numFmtId="0" fontId="5" fillId="0" borderId="194" xfId="4" applyFont="1" applyBorder="1" applyAlignment="1" applyProtection="1">
      <alignment vertical="center" shrinkToFit="1"/>
      <protection hidden="1"/>
    </xf>
    <xf numFmtId="0" fontId="5" fillId="0" borderId="194" xfId="4" applyFont="1" applyBorder="1" applyAlignment="1" applyProtection="1">
      <alignment horizontal="right" vertical="center" shrinkToFit="1"/>
      <protection hidden="1"/>
    </xf>
    <xf numFmtId="6" fontId="5" fillId="0" borderId="194" xfId="13" applyFont="1" applyFill="1" applyBorder="1" applyAlignment="1" applyProtection="1">
      <alignment vertical="center" shrinkToFit="1"/>
      <protection hidden="1"/>
    </xf>
    <xf numFmtId="10" fontId="5" fillId="0" borderId="194" xfId="18" applyNumberFormat="1" applyFont="1" applyFill="1" applyBorder="1" applyAlignment="1" applyProtection="1">
      <alignment vertical="center" shrinkToFit="1"/>
      <protection hidden="1"/>
    </xf>
    <xf numFmtId="0" fontId="5" fillId="0" borderId="0" xfId="4" applyFont="1" applyProtection="1">
      <alignment vertical="center"/>
      <protection locked="0" hidden="1"/>
    </xf>
    <xf numFmtId="0" fontId="5" fillId="0" borderId="0" xfId="4" applyFont="1" applyAlignment="1" applyProtection="1">
      <alignment horizontal="right" vertical="center" shrinkToFit="1"/>
      <protection hidden="1"/>
    </xf>
    <xf numFmtId="6" fontId="5" fillId="0" borderId="0" xfId="13" applyFont="1" applyFill="1" applyBorder="1" applyAlignment="1" applyProtection="1">
      <alignment vertical="center" shrinkToFit="1"/>
      <protection hidden="1"/>
    </xf>
    <xf numFmtId="10" fontId="5" fillId="0" borderId="0" xfId="18" applyNumberFormat="1" applyFont="1" applyFill="1" applyBorder="1" applyAlignment="1" applyProtection="1">
      <alignment vertical="center" shrinkToFit="1"/>
      <protection hidden="1"/>
    </xf>
    <xf numFmtId="0" fontId="15" fillId="26" borderId="194" xfId="4" applyFont="1" applyFill="1" applyBorder="1" applyProtection="1">
      <alignment vertical="center"/>
      <protection locked="0"/>
    </xf>
    <xf numFmtId="0" fontId="124" fillId="0" borderId="36" xfId="4" applyFont="1" applyBorder="1" applyAlignment="1">
      <alignment horizontal="left" vertical="center" wrapText="1"/>
    </xf>
    <xf numFmtId="0" fontId="31" fillId="0" borderId="261" xfId="5" applyNumberFormat="1" applyFont="1" applyFill="1" applyBorder="1" applyAlignment="1" applyProtection="1">
      <alignment vertical="center" wrapText="1"/>
    </xf>
    <xf numFmtId="0" fontId="20" fillId="30" borderId="6" xfId="2" applyFont="1" applyFill="1" applyBorder="1"/>
    <xf numFmtId="183" fontId="15" fillId="21" borderId="6" xfId="4" applyNumberFormat="1" applyFont="1" applyFill="1" applyBorder="1" applyAlignment="1" applyProtection="1">
      <alignment horizontal="right" vertical="center"/>
      <protection hidden="1"/>
    </xf>
    <xf numFmtId="0" fontId="29" fillId="0" borderId="192" xfId="4" applyFont="1" applyBorder="1" applyAlignment="1">
      <alignment vertical="center" shrinkToFit="1"/>
    </xf>
    <xf numFmtId="0" fontId="29" fillId="0" borderId="200" xfId="4" applyFont="1" applyBorder="1" applyAlignment="1">
      <alignment vertical="center" shrinkToFit="1"/>
    </xf>
    <xf numFmtId="0" fontId="31" fillId="0" borderId="0" xfId="4" applyFont="1" applyAlignment="1" applyProtection="1">
      <alignment horizontal="left" vertical="center"/>
      <protection locked="0" hidden="1"/>
    </xf>
    <xf numFmtId="0" fontId="20" fillId="21" borderId="6" xfId="4" applyFont="1" applyFill="1" applyBorder="1" applyAlignment="1" applyProtection="1">
      <alignment horizontal="right" vertical="center"/>
      <protection hidden="1"/>
    </xf>
    <xf numFmtId="0" fontId="31" fillId="0" borderId="0" xfId="4" applyFont="1" applyAlignment="1" applyProtection="1">
      <alignment horizontal="left" vertical="center"/>
      <protection hidden="1"/>
    </xf>
    <xf numFmtId="0" fontId="31" fillId="4" borderId="0" xfId="4" applyFont="1" applyFill="1" applyAlignment="1" applyProtection="1">
      <alignment horizontal="left" vertical="center"/>
      <protection locked="0"/>
    </xf>
    <xf numFmtId="0" fontId="53" fillId="0" borderId="22" xfId="4" applyFont="1" applyBorder="1" applyAlignment="1">
      <alignment vertical="center" shrinkToFit="1"/>
    </xf>
    <xf numFmtId="0" fontId="135" fillId="0" borderId="20" xfId="0" applyFont="1" applyBorder="1" applyAlignment="1">
      <alignment vertical="center" shrinkToFit="1"/>
    </xf>
    <xf numFmtId="0" fontId="52" fillId="0" borderId="20" xfId="0" applyFont="1" applyBorder="1">
      <alignment vertical="center"/>
    </xf>
    <xf numFmtId="0" fontId="52" fillId="0" borderId="20" xfId="0" applyFont="1" applyBorder="1" applyAlignment="1">
      <alignment horizontal="right" vertical="center"/>
    </xf>
    <xf numFmtId="0" fontId="31" fillId="5" borderId="194" xfId="4" applyFont="1" applyFill="1" applyBorder="1" applyAlignment="1" applyProtection="1">
      <alignment horizontal="right" vertical="center"/>
      <protection locked="0"/>
    </xf>
    <xf numFmtId="0" fontId="34" fillId="0" borderId="200" xfId="4" applyFont="1" applyBorder="1" applyAlignment="1" applyProtection="1">
      <alignment horizontal="center" vertical="center" shrinkToFit="1"/>
      <protection locked="0"/>
    </xf>
    <xf numFmtId="0" fontId="30" fillId="2" borderId="31" xfId="4" applyFont="1" applyFill="1" applyBorder="1" applyAlignment="1">
      <alignment horizontal="left" vertical="center"/>
    </xf>
    <xf numFmtId="0" fontId="34" fillId="2" borderId="208" xfId="4" applyFont="1" applyFill="1" applyBorder="1" applyAlignment="1">
      <alignment horizontal="center" vertical="center" shrinkToFit="1"/>
    </xf>
    <xf numFmtId="0" fontId="29" fillId="0" borderId="208" xfId="4" applyFont="1" applyBorder="1">
      <alignment vertical="center"/>
    </xf>
    <xf numFmtId="6" fontId="29" fillId="0" borderId="20" xfId="5" applyFont="1" applyBorder="1" applyAlignment="1" applyProtection="1">
      <alignment horizontal="left" vertical="center" shrinkToFit="1"/>
    </xf>
    <xf numFmtId="6" fontId="29" fillId="0" borderId="116" xfId="5" applyFont="1" applyBorder="1" applyAlignment="1" applyProtection="1">
      <alignment horizontal="left" vertical="center" shrinkToFit="1"/>
    </xf>
    <xf numFmtId="0" fontId="136" fillId="0" borderId="245" xfId="4" applyFont="1" applyBorder="1" applyAlignment="1">
      <alignment horizontal="left" vertical="center" wrapText="1"/>
    </xf>
    <xf numFmtId="0" fontId="52" fillId="0" borderId="245" xfId="4" applyFont="1" applyBorder="1" applyAlignment="1">
      <alignment horizontal="right" vertical="center"/>
    </xf>
    <xf numFmtId="0" fontId="124" fillId="0" borderId="166" xfId="4" applyFont="1" applyBorder="1" applyAlignment="1">
      <alignment horizontal="left" vertical="center" wrapText="1"/>
    </xf>
    <xf numFmtId="0" fontId="5" fillId="0" borderId="194" xfId="4" applyFont="1" applyBorder="1" applyProtection="1">
      <alignment vertical="center"/>
      <protection locked="0"/>
    </xf>
    <xf numFmtId="0" fontId="15" fillId="0" borderId="36" xfId="4" applyFont="1" applyBorder="1" applyProtection="1">
      <alignment vertical="center"/>
      <protection locked="0"/>
    </xf>
    <xf numFmtId="0" fontId="34" fillId="0" borderId="34" xfId="4" applyFont="1" applyBorder="1" applyAlignment="1">
      <alignment vertical="center" wrapText="1"/>
    </xf>
    <xf numFmtId="0" fontId="34" fillId="8" borderId="8" xfId="4" applyFont="1" applyFill="1" applyBorder="1">
      <alignment vertical="center"/>
    </xf>
    <xf numFmtId="10" fontId="52" fillId="60" borderId="266" xfId="6" applyNumberFormat="1" applyFont="1" applyFill="1" applyBorder="1" applyAlignment="1" applyProtection="1">
      <alignment vertical="center" shrinkToFit="1"/>
    </xf>
    <xf numFmtId="0" fontId="29" fillId="0" borderId="5" xfId="4" applyFont="1" applyBorder="1">
      <alignment vertical="center"/>
    </xf>
    <xf numFmtId="0" fontId="29" fillId="0" borderId="192" xfId="4" applyFont="1" applyBorder="1">
      <alignment vertical="center"/>
    </xf>
    <xf numFmtId="0" fontId="34" fillId="2" borderId="23" xfId="4" applyFont="1" applyFill="1" applyBorder="1" applyAlignment="1">
      <alignment horizontal="center" vertical="center" shrinkToFit="1"/>
    </xf>
    <xf numFmtId="0" fontId="29" fillId="0" borderId="23" xfId="4" applyFont="1" applyBorder="1">
      <alignment vertical="center"/>
    </xf>
    <xf numFmtId="6" fontId="29" fillId="0" borderId="23" xfId="5" applyFont="1" applyBorder="1" applyAlignment="1" applyProtection="1">
      <alignment horizontal="left" vertical="center" shrinkToFit="1"/>
    </xf>
    <xf numFmtId="0" fontId="34" fillId="2" borderId="19" xfId="4" applyFont="1" applyFill="1" applyBorder="1" applyAlignment="1">
      <alignment horizontal="center" vertical="center" shrinkToFit="1"/>
    </xf>
    <xf numFmtId="0" fontId="34" fillId="2" borderId="20" xfId="4" applyFont="1" applyFill="1" applyBorder="1" applyAlignment="1">
      <alignment horizontal="center" vertical="center" shrinkToFit="1"/>
    </xf>
    <xf numFmtId="0" fontId="29" fillId="0" borderId="20" xfId="4" applyFont="1" applyBorder="1">
      <alignment vertical="center"/>
    </xf>
    <xf numFmtId="0" fontId="53" fillId="0" borderId="9" xfId="4" applyFont="1" applyBorder="1" applyAlignment="1">
      <alignment horizontal="center" vertical="center" shrinkToFit="1"/>
    </xf>
    <xf numFmtId="10" fontId="34" fillId="0" borderId="56" xfId="6" applyNumberFormat="1" applyFont="1" applyBorder="1" applyAlignment="1" applyProtection="1">
      <alignment horizontal="center" vertical="center" shrinkToFit="1"/>
    </xf>
    <xf numFmtId="0" fontId="39" fillId="0" borderId="192" xfId="4" applyFont="1" applyBorder="1" applyAlignment="1" applyProtection="1">
      <alignment horizontal="left" vertical="center" shrinkToFit="1"/>
      <protection locked="0"/>
    </xf>
    <xf numFmtId="6" fontId="29" fillId="0" borderId="231" xfId="5" applyFont="1" applyBorder="1" applyAlignment="1" applyProtection="1">
      <alignment horizontal="left" vertical="center" shrinkToFit="1"/>
    </xf>
    <xf numFmtId="0" fontId="34" fillId="0" borderId="35" xfId="4" applyFont="1" applyBorder="1" applyAlignment="1" applyProtection="1">
      <alignment horizontal="center" vertical="center" shrinkToFit="1"/>
      <protection locked="0"/>
    </xf>
    <xf numFmtId="0" fontId="29" fillId="2" borderId="54" xfId="4" applyFont="1" applyFill="1" applyBorder="1" applyAlignment="1">
      <alignment horizontal="center" vertical="center" shrinkToFit="1"/>
    </xf>
    <xf numFmtId="49" fontId="20" fillId="0" borderId="6" xfId="4" applyNumberFormat="1" applyFont="1" applyBorder="1">
      <alignment vertical="center"/>
    </xf>
    <xf numFmtId="0" fontId="20" fillId="0" borderId="6" xfId="0" applyFont="1" applyBorder="1">
      <alignment vertical="center"/>
    </xf>
    <xf numFmtId="0" fontId="43" fillId="0" borderId="153" xfId="4" applyFont="1" applyBorder="1" applyAlignment="1">
      <alignment horizontal="left" vertical="center"/>
    </xf>
    <xf numFmtId="0" fontId="34" fillId="0" borderId="31" xfId="4" applyFont="1" applyBorder="1" applyAlignment="1">
      <alignment horizontal="center" vertical="center" shrinkToFit="1"/>
    </xf>
    <xf numFmtId="0" fontId="34" fillId="2" borderId="0" xfId="4" applyFont="1" applyFill="1" applyAlignment="1">
      <alignment horizontal="center" vertical="center" shrinkToFit="1"/>
    </xf>
    <xf numFmtId="0" fontId="34" fillId="0" borderId="36" xfId="4" applyFont="1" applyBorder="1" applyAlignment="1" applyProtection="1">
      <alignment horizontal="center" vertical="center" shrinkToFit="1"/>
      <protection locked="0"/>
    </xf>
    <xf numFmtId="0" fontId="29" fillId="0" borderId="269" xfId="4" applyFont="1" applyBorder="1">
      <alignment vertical="center"/>
    </xf>
    <xf numFmtId="0" fontId="29" fillId="0" borderId="270" xfId="4" applyFont="1" applyBorder="1">
      <alignment vertical="center"/>
    </xf>
    <xf numFmtId="0" fontId="29" fillId="0" borderId="228" xfId="4" applyFont="1" applyBorder="1">
      <alignment vertical="center"/>
    </xf>
    <xf numFmtId="0" fontId="29" fillId="0" borderId="36" xfId="4" applyFont="1" applyBorder="1">
      <alignment vertical="center"/>
    </xf>
    <xf numFmtId="0" fontId="34" fillId="2" borderId="278" xfId="4" applyFont="1" applyFill="1" applyBorder="1" applyAlignment="1">
      <alignment horizontal="center" vertical="center" shrinkToFit="1"/>
    </xf>
    <xf numFmtId="0" fontId="34" fillId="2" borderId="270" xfId="4" applyFont="1" applyFill="1" applyBorder="1" applyAlignment="1">
      <alignment horizontal="center" vertical="center" shrinkToFit="1"/>
    </xf>
    <xf numFmtId="6" fontId="29" fillId="0" borderId="270" xfId="5" applyFont="1" applyBorder="1" applyAlignment="1" applyProtection="1">
      <alignment horizontal="left" vertical="center" shrinkToFit="1"/>
    </xf>
    <xf numFmtId="0" fontId="31" fillId="26" borderId="0" xfId="4" applyFont="1" applyFill="1" applyAlignment="1" applyProtection="1">
      <alignment horizontal="left" vertical="center"/>
      <protection locked="0"/>
    </xf>
    <xf numFmtId="0" fontId="117" fillId="0" borderId="0" xfId="4" applyFont="1" applyAlignment="1">
      <alignment horizontal="left" vertical="center"/>
    </xf>
    <xf numFmtId="0" fontId="15" fillId="26" borderId="0" xfId="6" applyNumberFormat="1" applyFont="1" applyFill="1" applyBorder="1" applyAlignment="1" applyProtection="1">
      <alignment horizontal="left" vertical="center"/>
      <protection locked="0" hidden="1"/>
    </xf>
    <xf numFmtId="0" fontId="15" fillId="26" borderId="0" xfId="4" applyFont="1" applyFill="1" applyAlignment="1" applyProtection="1">
      <alignment horizontal="right" vertical="center"/>
      <protection locked="0"/>
    </xf>
    <xf numFmtId="0" fontId="15" fillId="26" borderId="0" xfId="4" applyFont="1" applyFill="1" applyAlignment="1" applyProtection="1">
      <alignment horizontal="left" vertical="center"/>
      <protection locked="0"/>
    </xf>
    <xf numFmtId="0" fontId="5" fillId="3" borderId="6" xfId="4" applyFont="1" applyFill="1" applyBorder="1" applyProtection="1">
      <alignment vertical="center"/>
      <protection locked="0"/>
    </xf>
    <xf numFmtId="0" fontId="15" fillId="3" borderId="274" xfId="4" applyFont="1" applyFill="1" applyBorder="1" applyProtection="1">
      <alignment vertical="center"/>
      <protection locked="0"/>
    </xf>
    <xf numFmtId="0" fontId="15" fillId="3" borderId="0" xfId="4" applyFont="1" applyFill="1" applyProtection="1">
      <alignment vertical="center"/>
      <protection locked="0"/>
    </xf>
    <xf numFmtId="49" fontId="15" fillId="5" borderId="6" xfId="4" applyNumberFormat="1" applyFont="1" applyFill="1" applyBorder="1" applyProtection="1">
      <alignment vertical="center"/>
      <protection hidden="1"/>
    </xf>
    <xf numFmtId="0" fontId="15" fillId="3" borderId="6" xfId="4" applyFont="1" applyFill="1" applyBorder="1" applyProtection="1">
      <alignment vertical="center"/>
      <protection locked="0"/>
    </xf>
    <xf numFmtId="0" fontId="5" fillId="0" borderId="274" xfId="4" applyFont="1" applyBorder="1" applyProtection="1">
      <alignment vertical="center"/>
      <protection locked="0"/>
    </xf>
    <xf numFmtId="0" fontId="5" fillId="3" borderId="276" xfId="4" applyFont="1" applyFill="1" applyBorder="1" applyProtection="1">
      <alignment vertical="center"/>
      <protection locked="0"/>
    </xf>
    <xf numFmtId="0" fontId="5" fillId="5" borderId="276" xfId="4" applyFont="1" applyFill="1" applyBorder="1" applyProtection="1">
      <alignment vertical="center"/>
      <protection locked="0"/>
    </xf>
    <xf numFmtId="0" fontId="5" fillId="3" borderId="10" xfId="4" applyFont="1" applyFill="1" applyBorder="1" applyProtection="1">
      <alignment vertical="center"/>
      <protection locked="0"/>
    </xf>
    <xf numFmtId="0" fontId="5" fillId="5" borderId="10" xfId="4" applyFont="1" applyFill="1" applyBorder="1" applyProtection="1">
      <alignment vertical="center"/>
      <protection locked="0"/>
    </xf>
    <xf numFmtId="0" fontId="5" fillId="3" borderId="11" xfId="4" applyFont="1" applyFill="1" applyBorder="1" applyProtection="1">
      <alignment vertical="center"/>
      <protection locked="0"/>
    </xf>
    <xf numFmtId="0" fontId="15" fillId="3" borderId="11" xfId="4" applyFont="1" applyFill="1" applyBorder="1" applyProtection="1">
      <alignment vertical="center"/>
      <protection locked="0"/>
    </xf>
    <xf numFmtId="0" fontId="5" fillId="5" borderId="11" xfId="4" applyFont="1" applyFill="1" applyBorder="1" applyProtection="1">
      <alignment vertical="center"/>
      <protection locked="0"/>
    </xf>
    <xf numFmtId="0" fontId="5" fillId="5" borderId="274" xfId="4" applyFont="1" applyFill="1" applyBorder="1" applyProtection="1">
      <alignment vertical="center"/>
      <protection locked="0"/>
    </xf>
    <xf numFmtId="0" fontId="5" fillId="0" borderId="274" xfId="4" applyFont="1" applyBorder="1" applyProtection="1">
      <alignment vertical="center"/>
      <protection hidden="1"/>
    </xf>
    <xf numFmtId="0" fontId="140" fillId="2" borderId="6" xfId="4" applyFont="1" applyFill="1" applyBorder="1" applyAlignment="1" applyProtection="1">
      <alignment vertical="center" shrinkToFit="1"/>
      <protection hidden="1"/>
    </xf>
    <xf numFmtId="49" fontId="15" fillId="0" borderId="6" xfId="4" applyNumberFormat="1" applyFont="1" applyBorder="1" applyProtection="1">
      <alignment vertical="center"/>
      <protection hidden="1"/>
    </xf>
    <xf numFmtId="49" fontId="15" fillId="27" borderId="6" xfId="4" applyNumberFormat="1" applyFont="1" applyFill="1" applyBorder="1" applyProtection="1">
      <alignment vertical="center"/>
      <protection locked="0"/>
    </xf>
    <xf numFmtId="0" fontId="15" fillId="27" borderId="274" xfId="4" applyFont="1" applyFill="1" applyBorder="1" applyProtection="1">
      <alignment vertical="center"/>
      <protection hidden="1"/>
    </xf>
    <xf numFmtId="0" fontId="29" fillId="0" borderId="272" xfId="4" applyFont="1" applyBorder="1">
      <alignment vertical="center"/>
    </xf>
    <xf numFmtId="0" fontId="29" fillId="0" borderId="281" xfId="4" applyFont="1" applyBorder="1">
      <alignment vertical="center"/>
    </xf>
    <xf numFmtId="49" fontId="15" fillId="21" borderId="6" xfId="4" applyNumberFormat="1" applyFont="1" applyFill="1" applyBorder="1" applyProtection="1">
      <alignment vertical="center"/>
      <protection hidden="1"/>
    </xf>
    <xf numFmtId="0" fontId="34" fillId="0" borderId="273" xfId="4" applyFont="1" applyBorder="1" applyAlignment="1">
      <alignment horizontal="center" vertical="center" shrinkToFit="1"/>
    </xf>
    <xf numFmtId="0" fontId="34" fillId="0" borderId="283" xfId="4" applyFont="1" applyBorder="1" applyAlignment="1">
      <alignment horizontal="center" vertical="center" shrinkToFit="1"/>
    </xf>
    <xf numFmtId="0" fontId="38" fillId="0" borderId="31" xfId="4" applyFont="1" applyBorder="1" applyAlignment="1">
      <alignment horizontal="center" vertical="center" shrinkToFit="1"/>
    </xf>
    <xf numFmtId="0" fontId="38" fillId="0" borderId="40" xfId="4" applyFont="1" applyBorder="1" applyAlignment="1">
      <alignment horizontal="center" vertical="center" shrinkToFit="1"/>
    </xf>
    <xf numFmtId="0" fontId="30" fillId="2" borderId="0" xfId="4" applyFont="1" applyFill="1" applyAlignment="1">
      <alignment horizontal="left" vertical="center"/>
    </xf>
    <xf numFmtId="0" fontId="34" fillId="0" borderId="31" xfId="4" applyFont="1" applyBorder="1" applyAlignment="1">
      <alignment vertical="center" shrinkToFit="1"/>
    </xf>
    <xf numFmtId="0" fontId="34" fillId="2" borderId="286" xfId="4" applyFont="1" applyFill="1" applyBorder="1" applyAlignment="1">
      <alignment horizontal="center" vertical="center" shrinkToFit="1"/>
    </xf>
    <xf numFmtId="6" fontId="29" fillId="0" borderId="273" xfId="5" applyFont="1" applyBorder="1" applyAlignment="1" applyProtection="1">
      <alignment horizontal="left" vertical="center" shrinkToFit="1"/>
    </xf>
    <xf numFmtId="6" fontId="29" fillId="0" borderId="273" xfId="5" applyFont="1" applyFill="1" applyBorder="1" applyAlignment="1" applyProtection="1">
      <alignment horizontal="left" vertical="center" shrinkToFit="1"/>
    </xf>
    <xf numFmtId="0" fontId="29" fillId="0" borderId="273" xfId="5" applyNumberFormat="1" applyFont="1" applyBorder="1" applyAlignment="1" applyProtection="1">
      <alignment horizontal="left" vertical="center" shrinkToFit="1"/>
    </xf>
    <xf numFmtId="0" fontId="29" fillId="0" borderId="283" xfId="5" applyNumberFormat="1" applyFont="1" applyBorder="1" applyAlignment="1" applyProtection="1">
      <alignment horizontal="left" vertical="center" shrinkToFit="1"/>
    </xf>
    <xf numFmtId="49" fontId="15" fillId="0" borderId="9" xfId="4" applyNumberFormat="1" applyFont="1" applyBorder="1" applyProtection="1">
      <alignment vertical="center"/>
      <protection hidden="1"/>
    </xf>
    <xf numFmtId="0" fontId="34" fillId="0" borderId="269" xfId="4" applyFont="1" applyBorder="1" applyAlignment="1">
      <alignment horizontal="center" vertical="center" shrinkToFit="1"/>
    </xf>
    <xf numFmtId="0" fontId="34" fillId="0" borderId="284" xfId="4" applyFont="1" applyBorder="1" applyAlignment="1">
      <alignment horizontal="center" vertical="center" shrinkToFit="1"/>
    </xf>
    <xf numFmtId="6" fontId="29" fillId="0" borderId="156" xfId="5" applyFont="1" applyBorder="1" applyAlignment="1" applyProtection="1">
      <alignment horizontal="left" vertical="center" shrinkToFit="1"/>
    </xf>
    <xf numFmtId="6" fontId="29" fillId="0" borderId="283" xfId="5" applyFont="1" applyBorder="1" applyAlignment="1" applyProtection="1">
      <alignment horizontal="left" vertical="center" shrinkToFit="1"/>
    </xf>
    <xf numFmtId="0" fontId="29" fillId="0" borderId="269" xfId="4" applyFont="1" applyBorder="1" applyAlignment="1">
      <alignment vertical="center" shrinkToFit="1"/>
    </xf>
    <xf numFmtId="0" fontId="29" fillId="0" borderId="270" xfId="4" applyFont="1" applyBorder="1" applyAlignment="1">
      <alignment vertical="center" shrinkToFit="1"/>
    </xf>
    <xf numFmtId="6" fontId="29" fillId="0" borderId="291" xfId="5" applyFont="1" applyBorder="1" applyAlignment="1" applyProtection="1">
      <alignment horizontal="left" vertical="center" shrinkToFit="1"/>
    </xf>
    <xf numFmtId="6" fontId="29" fillId="0" borderId="292" xfId="5" applyFont="1" applyBorder="1" applyAlignment="1" applyProtection="1">
      <alignment horizontal="left" vertical="center" shrinkToFit="1"/>
    </xf>
    <xf numFmtId="0" fontId="31" fillId="0" borderId="276" xfId="4" applyFont="1" applyBorder="1" applyProtection="1">
      <alignment vertical="center"/>
      <protection locked="0"/>
    </xf>
    <xf numFmtId="0" fontId="31" fillId="0" borderId="0" xfId="0" applyFont="1">
      <alignment vertical="center"/>
    </xf>
    <xf numFmtId="0" fontId="59" fillId="0" borderId="0" xfId="0" applyFont="1">
      <alignment vertical="center"/>
    </xf>
    <xf numFmtId="0" fontId="31" fillId="0" borderId="274" xfId="4" applyFont="1" applyBorder="1" applyProtection="1">
      <alignment vertical="center"/>
      <protection locked="0"/>
    </xf>
    <xf numFmtId="0" fontId="31" fillId="0" borderId="276" xfId="4" applyFont="1" applyBorder="1" applyProtection="1">
      <alignment vertical="center"/>
      <protection hidden="1"/>
    </xf>
    <xf numFmtId="0" fontId="31" fillId="0" borderId="274" xfId="4" applyFont="1" applyBorder="1" applyProtection="1">
      <alignment vertical="center"/>
      <protection hidden="1"/>
    </xf>
    <xf numFmtId="0" fontId="31" fillId="0" borderId="269" xfId="4" applyFont="1" applyBorder="1" applyProtection="1">
      <alignment vertical="center"/>
      <protection hidden="1"/>
    </xf>
    <xf numFmtId="0" fontId="31" fillId="0" borderId="274" xfId="0" applyFont="1" applyBorder="1">
      <alignment vertical="center"/>
    </xf>
    <xf numFmtId="0" fontId="31" fillId="0" borderId="272" xfId="4" applyFont="1" applyBorder="1" applyProtection="1">
      <alignment vertical="center"/>
      <protection locked="0"/>
    </xf>
    <xf numFmtId="0" fontId="31" fillId="0" borderId="275" xfId="4" applyFont="1" applyBorder="1" applyProtection="1">
      <alignment vertical="center"/>
      <protection hidden="1"/>
    </xf>
    <xf numFmtId="49" fontId="31" fillId="0" borderId="10" xfId="0" applyNumberFormat="1" applyFont="1" applyBorder="1">
      <alignment vertical="center"/>
    </xf>
    <xf numFmtId="0" fontId="31" fillId="0" borderId="8" xfId="0" applyFont="1" applyBorder="1">
      <alignment vertical="center"/>
    </xf>
    <xf numFmtId="0" fontId="31" fillId="0" borderId="10" xfId="0" applyFont="1" applyBorder="1">
      <alignment vertical="center"/>
    </xf>
    <xf numFmtId="0" fontId="31" fillId="0" borderId="11" xfId="0" applyFont="1" applyBorder="1">
      <alignment vertical="center"/>
    </xf>
    <xf numFmtId="0" fontId="31" fillId="0" borderId="36" xfId="0" applyFont="1" applyBorder="1">
      <alignment vertical="center"/>
    </xf>
    <xf numFmtId="0" fontId="31" fillId="0" borderId="5" xfId="0" applyFont="1" applyBorder="1">
      <alignment vertical="center"/>
    </xf>
    <xf numFmtId="0" fontId="15" fillId="0" borderId="17" xfId="4" applyFont="1" applyBorder="1" applyProtection="1">
      <alignment vertical="center"/>
      <protection locked="0"/>
    </xf>
    <xf numFmtId="0" fontId="15" fillId="0" borderId="270" xfId="4" applyFont="1" applyBorder="1" applyProtection="1">
      <alignment vertical="center"/>
      <protection locked="0"/>
    </xf>
    <xf numFmtId="0" fontId="15" fillId="0" borderId="270" xfId="4" applyFont="1" applyBorder="1" applyProtection="1">
      <alignment vertical="center"/>
      <protection hidden="1"/>
    </xf>
    <xf numFmtId="6" fontId="15" fillId="0" borderId="270" xfId="13" applyFont="1" applyFill="1" applyBorder="1" applyAlignment="1" applyProtection="1">
      <alignment vertical="center" shrinkToFit="1"/>
      <protection hidden="1"/>
    </xf>
    <xf numFmtId="0" fontId="15" fillId="26" borderId="270" xfId="4" applyFont="1" applyFill="1" applyBorder="1" applyProtection="1">
      <alignment vertical="center"/>
      <protection locked="0"/>
    </xf>
    <xf numFmtId="0" fontId="30" fillId="0" borderId="272" xfId="4" applyFont="1" applyBorder="1" applyAlignment="1">
      <alignment vertical="center" shrinkToFit="1"/>
    </xf>
    <xf numFmtId="0" fontId="30" fillId="0" borderId="273" xfId="4" applyFont="1" applyBorder="1" applyAlignment="1">
      <alignment vertical="center" shrinkToFit="1"/>
    </xf>
    <xf numFmtId="0" fontId="30" fillId="0" borderId="275" xfId="4" applyFont="1" applyBorder="1" applyAlignment="1">
      <alignment vertical="center" shrinkToFit="1"/>
    </xf>
    <xf numFmtId="0" fontId="124" fillId="0" borderId="273" xfId="4" applyFont="1" applyBorder="1" applyAlignment="1">
      <alignment horizontal="left" vertical="center" wrapText="1"/>
    </xf>
    <xf numFmtId="0" fontId="43" fillId="0" borderId="273" xfId="4" applyFont="1" applyBorder="1">
      <alignment vertical="center"/>
    </xf>
    <xf numFmtId="0" fontId="43" fillId="0" borderId="287" xfId="4" applyFont="1" applyBorder="1">
      <alignment vertical="center"/>
    </xf>
    <xf numFmtId="0" fontId="30" fillId="0" borderId="0" xfId="4" applyFont="1" applyAlignment="1">
      <alignment vertical="center" shrinkToFit="1"/>
    </xf>
    <xf numFmtId="0" fontId="30" fillId="0" borderId="38" xfId="4" applyFont="1" applyBorder="1" applyAlignment="1">
      <alignment vertical="center" shrinkToFit="1"/>
    </xf>
    <xf numFmtId="0" fontId="43" fillId="0" borderId="157" xfId="4" applyFont="1" applyBorder="1">
      <alignment vertical="center"/>
    </xf>
    <xf numFmtId="0" fontId="124" fillId="0" borderId="157" xfId="4" applyFont="1" applyBorder="1" applyAlignment="1">
      <alignment horizontal="left" vertical="center" wrapText="1"/>
    </xf>
    <xf numFmtId="0" fontId="43" fillId="0" borderId="293" xfId="4" applyFont="1" applyBorder="1">
      <alignment vertical="center"/>
    </xf>
    <xf numFmtId="49" fontId="43" fillId="0" borderId="153" xfId="4" applyNumberFormat="1" applyFont="1" applyBorder="1" applyAlignment="1">
      <alignment vertical="center" shrinkToFit="1"/>
    </xf>
    <xf numFmtId="0" fontId="43" fillId="0" borderId="273" xfId="4" applyFont="1" applyBorder="1" applyAlignment="1">
      <alignment horizontal="left" vertical="center"/>
    </xf>
    <xf numFmtId="0" fontId="124" fillId="0" borderId="272" xfId="4" applyFont="1" applyBorder="1" applyAlignment="1">
      <alignment horizontal="left" vertical="center"/>
    </xf>
    <xf numFmtId="0" fontId="124" fillId="0" borderId="273" xfId="4" applyFont="1" applyBorder="1" applyAlignment="1">
      <alignment horizontal="left" vertical="center"/>
    </xf>
    <xf numFmtId="0" fontId="124" fillId="0" borderId="287" xfId="4" applyFont="1" applyBorder="1" applyAlignment="1">
      <alignment horizontal="left" vertical="center"/>
    </xf>
    <xf numFmtId="49" fontId="5" fillId="30" borderId="6" xfId="4" applyNumberFormat="1" applyFont="1" applyFill="1" applyBorder="1" applyProtection="1">
      <alignment vertical="center"/>
      <protection hidden="1"/>
    </xf>
    <xf numFmtId="0" fontId="34" fillId="0" borderId="270" xfId="6" applyNumberFormat="1" applyFont="1" applyBorder="1" applyAlignment="1" applyProtection="1">
      <alignment vertical="center" shrinkToFit="1"/>
    </xf>
    <xf numFmtId="5" fontId="34" fillId="0" borderId="284" xfId="5" applyNumberFormat="1" applyFont="1" applyBorder="1" applyAlignment="1" applyProtection="1">
      <alignment vertical="center" shrinkToFit="1"/>
      <protection locked="0"/>
    </xf>
    <xf numFmtId="0" fontId="34" fillId="0" borderId="77"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xf>
    <xf numFmtId="0" fontId="34" fillId="0" borderId="131" xfId="6" applyNumberFormat="1" applyFont="1" applyBorder="1" applyAlignment="1" applyProtection="1">
      <alignment horizontal="center" vertical="center" shrinkToFit="1"/>
      <protection locked="0"/>
    </xf>
    <xf numFmtId="0" fontId="34" fillId="0" borderId="20" xfId="4" applyFont="1" applyBorder="1" applyAlignment="1">
      <alignment vertical="center" shrinkToFit="1"/>
    </xf>
    <xf numFmtId="0" fontId="34" fillId="0" borderId="116" xfId="4" applyFont="1" applyBorder="1" applyAlignment="1">
      <alignment vertical="center" shrinkToFit="1"/>
    </xf>
    <xf numFmtId="0" fontId="34" fillId="0" borderId="284" xfId="5" applyNumberFormat="1" applyFont="1" applyBorder="1" applyAlignment="1" applyProtection="1">
      <alignment vertical="center" shrinkToFit="1"/>
    </xf>
    <xf numFmtId="0" fontId="34" fillId="0" borderId="270" xfId="4" applyFont="1" applyBorder="1" applyAlignment="1">
      <alignment horizontal="center" vertical="center" shrinkToFit="1"/>
    </xf>
    <xf numFmtId="0" fontId="19" fillId="0" borderId="274" xfId="2" applyFont="1" applyBorder="1"/>
    <xf numFmtId="0" fontId="17" fillId="0" borderId="274" xfId="4" applyFont="1" applyBorder="1" applyProtection="1">
      <alignment vertical="center"/>
      <protection hidden="1"/>
    </xf>
    <xf numFmtId="0" fontId="20" fillId="0" borderId="274" xfId="4" applyFont="1" applyBorder="1" applyProtection="1">
      <alignment vertical="center"/>
      <protection hidden="1"/>
    </xf>
    <xf numFmtId="49" fontId="17" fillId="4" borderId="274" xfId="4" applyNumberFormat="1" applyFont="1" applyFill="1" applyBorder="1" applyAlignment="1" applyProtection="1">
      <alignment horizontal="left" vertical="center"/>
      <protection hidden="1"/>
    </xf>
    <xf numFmtId="0" fontId="20" fillId="4" borderId="274" xfId="4" applyFont="1" applyFill="1" applyBorder="1" applyAlignment="1" applyProtection="1">
      <alignment horizontal="right" vertical="center"/>
      <protection hidden="1"/>
    </xf>
    <xf numFmtId="0" fontId="15" fillId="0" borderId="0" xfId="4" applyFont="1" applyAlignment="1" applyProtection="1">
      <alignment horizontal="right" vertical="center"/>
      <protection hidden="1"/>
    </xf>
    <xf numFmtId="0" fontId="15" fillId="30" borderId="9" xfId="4" applyFont="1" applyFill="1" applyBorder="1" applyProtection="1">
      <alignment vertical="center"/>
      <protection hidden="1"/>
    </xf>
    <xf numFmtId="0" fontId="15" fillId="30" borderId="6" xfId="4" applyFont="1" applyFill="1" applyBorder="1" applyProtection="1">
      <alignment vertical="center"/>
      <protection hidden="1"/>
    </xf>
    <xf numFmtId="0" fontId="42" fillId="2" borderId="33" xfId="4" applyFont="1" applyFill="1" applyBorder="1" applyAlignment="1">
      <alignment vertical="center" shrinkToFit="1"/>
    </xf>
    <xf numFmtId="0" fontId="42" fillId="2" borderId="0" xfId="4" applyFont="1" applyFill="1" applyAlignment="1">
      <alignment vertical="center" shrinkToFit="1"/>
    </xf>
    <xf numFmtId="0" fontId="42" fillId="2" borderId="38" xfId="4" applyFont="1" applyFill="1" applyBorder="1" applyAlignment="1">
      <alignment vertical="center" shrinkToFit="1"/>
    </xf>
    <xf numFmtId="0" fontId="42" fillId="2" borderId="35" xfId="4" applyFont="1" applyFill="1" applyBorder="1" applyAlignment="1">
      <alignment vertical="center" shrinkToFit="1"/>
    </xf>
    <xf numFmtId="0" fontId="42" fillId="2" borderId="36" xfId="4" applyFont="1" applyFill="1" applyBorder="1" applyAlignment="1">
      <alignment vertical="center" shrinkToFit="1"/>
    </xf>
    <xf numFmtId="0" fontId="42" fillId="2" borderId="54" xfId="4" applyFont="1" applyFill="1" applyBorder="1" applyAlignment="1">
      <alignment vertical="center" shrinkToFit="1"/>
    </xf>
    <xf numFmtId="0" fontId="34" fillId="0" borderId="40" xfId="4" applyFont="1" applyBorder="1" applyAlignment="1" applyProtection="1">
      <alignment horizontal="center" vertical="center" shrinkToFit="1"/>
      <protection locked="0"/>
    </xf>
    <xf numFmtId="0" fontId="34" fillId="0" borderId="296" xfId="4" applyFont="1" applyBorder="1" applyAlignment="1" applyProtection="1">
      <alignment horizontal="center" vertical="center" shrinkToFit="1"/>
      <protection locked="0"/>
    </xf>
    <xf numFmtId="6" fontId="29" fillId="0" borderId="32" xfId="5" applyFont="1" applyBorder="1" applyAlignment="1" applyProtection="1">
      <alignment horizontal="left" vertical="center" shrinkToFit="1"/>
    </xf>
    <xf numFmtId="0" fontId="30" fillId="0" borderId="40" xfId="4" applyFont="1" applyBorder="1">
      <alignment vertical="center"/>
    </xf>
    <xf numFmtId="0" fontId="34" fillId="0" borderId="268" xfId="4" applyFont="1" applyBorder="1" applyAlignment="1">
      <alignment horizontal="center" vertical="center" shrinkToFit="1"/>
    </xf>
    <xf numFmtId="0" fontId="29" fillId="8" borderId="192" xfId="4" applyFont="1" applyFill="1" applyBorder="1">
      <alignment vertical="center"/>
    </xf>
    <xf numFmtId="0" fontId="29" fillId="8" borderId="270" xfId="4" applyFont="1" applyFill="1" applyBorder="1">
      <alignment vertical="center"/>
    </xf>
    <xf numFmtId="0" fontId="34" fillId="8" borderId="200" xfId="4" applyFont="1" applyFill="1" applyBorder="1" applyAlignment="1">
      <alignment vertical="center" shrinkToFit="1"/>
    </xf>
    <xf numFmtId="0" fontId="34" fillId="8" borderId="77" xfId="4" applyFont="1" applyFill="1" applyBorder="1" applyAlignment="1">
      <alignment vertical="center" shrinkToFit="1"/>
    </xf>
    <xf numFmtId="0" fontId="41" fillId="0" borderId="193" xfId="4" applyFont="1" applyBorder="1" applyAlignment="1">
      <alignment vertical="center" shrinkToFit="1"/>
    </xf>
    <xf numFmtId="0" fontId="41" fillId="0" borderId="194" xfId="4" applyFont="1" applyBorder="1" applyAlignment="1">
      <alignment vertical="center" shrinkToFit="1"/>
    </xf>
    <xf numFmtId="0" fontId="41" fillId="0" borderId="20" xfId="4" applyFont="1" applyBorder="1" applyAlignment="1">
      <alignment vertical="center" shrinkToFit="1"/>
    </xf>
    <xf numFmtId="0" fontId="41" fillId="0" borderId="301" xfId="4" applyFont="1" applyBorder="1" applyAlignment="1">
      <alignment vertical="center" shrinkToFit="1"/>
    </xf>
    <xf numFmtId="0" fontId="41" fillId="0" borderId="5" xfId="4" applyFont="1" applyBorder="1" applyAlignment="1">
      <alignment vertical="center" shrinkToFit="1"/>
    </xf>
    <xf numFmtId="0" fontId="41" fillId="0" borderId="36" xfId="4" applyFont="1" applyBorder="1" applyAlignment="1">
      <alignment vertical="center" shrinkToFit="1"/>
    </xf>
    <xf numFmtId="0" fontId="41" fillId="0" borderId="37" xfId="4" applyFont="1" applyBorder="1" applyAlignment="1">
      <alignment vertical="center" shrinkToFit="1"/>
    </xf>
    <xf numFmtId="6" fontId="29" fillId="0" borderId="265" xfId="5" applyFont="1" applyBorder="1" applyAlignment="1" applyProtection="1">
      <alignment horizontal="left" vertical="center" shrinkToFit="1"/>
    </xf>
    <xf numFmtId="0" fontId="28" fillId="0" borderId="0" xfId="0" applyFont="1">
      <alignment vertical="center"/>
    </xf>
    <xf numFmtId="0" fontId="28" fillId="0" borderId="0" xfId="2" applyFont="1" applyAlignment="1">
      <alignment vertical="center"/>
    </xf>
    <xf numFmtId="0" fontId="31" fillId="0" borderId="272" xfId="4" applyFont="1" applyBorder="1" applyProtection="1">
      <alignment vertical="center"/>
      <protection hidden="1"/>
    </xf>
    <xf numFmtId="0" fontId="31" fillId="0" borderId="271" xfId="4" applyFont="1" applyBorder="1" applyProtection="1">
      <alignment vertical="center"/>
      <protection hidden="1"/>
    </xf>
    <xf numFmtId="0" fontId="0" fillId="0" borderId="36" xfId="0" applyBorder="1" applyAlignment="1">
      <alignment vertical="center" shrinkToFit="1"/>
    </xf>
    <xf numFmtId="0" fontId="0" fillId="0" borderId="37" xfId="0" applyBorder="1" applyAlignment="1">
      <alignment vertical="center" shrinkToFit="1"/>
    </xf>
    <xf numFmtId="49" fontId="15" fillId="30" borderId="6" xfId="4" applyNumberFormat="1" applyFont="1" applyFill="1" applyBorder="1" applyProtection="1">
      <alignment vertical="center"/>
      <protection hidden="1"/>
    </xf>
    <xf numFmtId="0" fontId="28" fillId="4" borderId="0" xfId="0" applyFont="1" applyFill="1">
      <alignment vertical="center"/>
    </xf>
    <xf numFmtId="0" fontId="142" fillId="0" borderId="0" xfId="0" applyFont="1">
      <alignment vertical="center"/>
    </xf>
    <xf numFmtId="0" fontId="28" fillId="26" borderId="0" xfId="0" applyFont="1" applyFill="1">
      <alignment vertical="center"/>
    </xf>
    <xf numFmtId="0" fontId="30" fillId="31" borderId="274" xfId="4" applyFont="1" applyFill="1" applyBorder="1" applyAlignment="1">
      <alignment horizontal="center" vertical="center" wrapText="1"/>
    </xf>
    <xf numFmtId="0" fontId="30" fillId="36" borderId="274" xfId="19" applyFont="1" applyFill="1" applyBorder="1" applyAlignment="1">
      <alignment horizontal="center" vertical="center"/>
    </xf>
    <xf numFmtId="0" fontId="30" fillId="36" borderId="274" xfId="19" applyFont="1" applyFill="1" applyBorder="1" applyAlignment="1">
      <alignment horizontal="center" vertical="center" wrapText="1"/>
    </xf>
    <xf numFmtId="0" fontId="43" fillId="0" borderId="274" xfId="0" applyFont="1" applyBorder="1">
      <alignment vertical="center"/>
    </xf>
    <xf numFmtId="0" fontId="43" fillId="0" borderId="274" xfId="0" applyFont="1" applyBorder="1" applyAlignment="1">
      <alignment vertical="center" wrapText="1"/>
    </xf>
    <xf numFmtId="6" fontId="29" fillId="0" borderId="305" xfId="5" applyFont="1" applyBorder="1" applyAlignment="1" applyProtection="1">
      <alignment horizontal="left" vertical="center" shrinkToFit="1"/>
    </xf>
    <xf numFmtId="0" fontId="34" fillId="0" borderId="100" xfId="4" applyFont="1" applyBorder="1">
      <alignment vertical="center"/>
    </xf>
    <xf numFmtId="0" fontId="34" fillId="0" borderId="99" xfId="4" applyFont="1" applyBorder="1">
      <alignment vertical="center"/>
    </xf>
    <xf numFmtId="0" fontId="34" fillId="0" borderId="269" xfId="4" applyFont="1" applyBorder="1">
      <alignment vertical="center"/>
    </xf>
    <xf numFmtId="0" fontId="34" fillId="0" borderId="270" xfId="4" applyFont="1" applyBorder="1">
      <alignment vertical="center"/>
    </xf>
    <xf numFmtId="0" fontId="34" fillId="0" borderId="104" xfId="4" applyFont="1" applyBorder="1">
      <alignment vertical="center"/>
    </xf>
    <xf numFmtId="0" fontId="34" fillId="0" borderId="202" xfId="4" applyFont="1" applyBorder="1">
      <alignment vertical="center"/>
    </xf>
    <xf numFmtId="0" fontId="34" fillId="0" borderId="273" xfId="4" applyFont="1" applyBorder="1">
      <alignment vertical="center"/>
    </xf>
    <xf numFmtId="0" fontId="34" fillId="0" borderId="287" xfId="4" applyFont="1" applyBorder="1">
      <alignment vertical="center"/>
    </xf>
    <xf numFmtId="0" fontId="34" fillId="0" borderId="285" xfId="4" applyFont="1" applyBorder="1">
      <alignment vertical="center"/>
    </xf>
    <xf numFmtId="0" fontId="29" fillId="2" borderId="39" xfId="4" applyFont="1" applyFill="1" applyBorder="1" applyAlignment="1">
      <alignment horizontal="center" vertical="center" shrinkToFit="1"/>
    </xf>
    <xf numFmtId="0" fontId="29" fillId="2" borderId="40" xfId="4" applyFont="1" applyFill="1" applyBorder="1" applyAlignment="1">
      <alignment horizontal="center" vertical="center" shrinkToFit="1"/>
    </xf>
    <xf numFmtId="0" fontId="29" fillId="2" borderId="41" xfId="4" applyFont="1" applyFill="1" applyBorder="1" applyAlignment="1">
      <alignment horizontal="center" vertical="center" shrinkToFit="1"/>
    </xf>
    <xf numFmtId="0" fontId="29" fillId="0" borderId="40" xfId="4" applyFont="1" applyBorder="1" applyAlignment="1">
      <alignment horizontal="left" vertical="center" wrapText="1"/>
    </xf>
    <xf numFmtId="0" fontId="29" fillId="0" borderId="40" xfId="4" applyFont="1" applyBorder="1" applyAlignment="1">
      <alignment horizontal="center" vertical="center"/>
    </xf>
    <xf numFmtId="6" fontId="29" fillId="0" borderId="40" xfId="5" applyFont="1" applyBorder="1" applyAlignment="1" applyProtection="1">
      <alignment horizontal="right" vertical="center" shrinkToFit="1"/>
    </xf>
    <xf numFmtId="0" fontId="30" fillId="2" borderId="99" xfId="4" applyFont="1" applyFill="1" applyBorder="1" applyAlignment="1">
      <alignment vertical="center" shrinkToFit="1"/>
    </xf>
    <xf numFmtId="0" fontId="30" fillId="0" borderId="99" xfId="4" applyFont="1" applyBorder="1">
      <alignment vertical="center"/>
    </xf>
    <xf numFmtId="6" fontId="30" fillId="0" borderId="99" xfId="5" applyFont="1" applyBorder="1" applyAlignment="1" applyProtection="1">
      <alignment horizontal="left" vertical="center" shrinkToFit="1"/>
    </xf>
    <xf numFmtId="0" fontId="34" fillId="0" borderId="40" xfId="5" applyNumberFormat="1" applyFont="1" applyBorder="1" applyAlignment="1" applyProtection="1">
      <alignment horizontal="left" vertical="center" shrinkToFit="1"/>
    </xf>
    <xf numFmtId="0" fontId="41" fillId="0" borderId="5" xfId="4" applyFont="1" applyBorder="1">
      <alignment vertical="center"/>
    </xf>
    <xf numFmtId="0" fontId="30" fillId="0" borderId="34" xfId="4" applyFont="1" applyBorder="1">
      <alignment vertical="center"/>
    </xf>
    <xf numFmtId="0" fontId="17" fillId="0" borderId="0" xfId="4" applyFont="1" applyProtection="1">
      <alignment vertical="center"/>
      <protection hidden="1"/>
    </xf>
    <xf numFmtId="49" fontId="18" fillId="0" borderId="6" xfId="4" applyNumberFormat="1" applyFont="1" applyBorder="1" applyAlignment="1">
      <alignment horizontal="left" vertical="center"/>
    </xf>
    <xf numFmtId="49" fontId="18" fillId="0" borderId="6" xfId="4" applyNumberFormat="1" applyFont="1" applyBorder="1">
      <alignment vertical="center"/>
    </xf>
    <xf numFmtId="0" fontId="18" fillId="0" borderId="6" xfId="4" applyFont="1" applyBorder="1">
      <alignment vertical="center"/>
    </xf>
    <xf numFmtId="0" fontId="18" fillId="0" borderId="6" xfId="4" applyFont="1" applyBorder="1" applyAlignment="1">
      <alignment horizontal="left" vertical="center"/>
    </xf>
    <xf numFmtId="49" fontId="17" fillId="4" borderId="6" xfId="4" applyNumberFormat="1" applyFont="1" applyFill="1" applyBorder="1" applyAlignment="1" applyProtection="1">
      <protection hidden="1"/>
    </xf>
    <xf numFmtId="0" fontId="20" fillId="21" borderId="6" xfId="2" applyFont="1" applyFill="1" applyBorder="1"/>
    <xf numFmtId="0" fontId="117" fillId="8" borderId="36" xfId="4" applyFont="1" applyFill="1" applyBorder="1" applyAlignment="1">
      <alignment horizontal="left" vertical="center" indent="1"/>
    </xf>
    <xf numFmtId="0" fontId="30" fillId="0" borderId="193" xfId="6" applyNumberFormat="1" applyFont="1" applyFill="1" applyBorder="1" applyAlignment="1" applyProtection="1">
      <alignment vertical="center" wrapText="1"/>
    </xf>
    <xf numFmtId="0" fontId="30" fillId="0" borderId="194" xfId="6" applyNumberFormat="1" applyFont="1" applyFill="1" applyBorder="1" applyAlignment="1" applyProtection="1">
      <alignment vertical="center" wrapText="1"/>
    </xf>
    <xf numFmtId="0" fontId="30" fillId="0" borderId="196" xfId="6" applyNumberFormat="1" applyFont="1" applyFill="1" applyBorder="1" applyAlignment="1" applyProtection="1">
      <alignment vertical="center" wrapText="1"/>
    </xf>
    <xf numFmtId="0" fontId="15" fillId="26" borderId="0" xfId="4" applyFont="1" applyFill="1" applyProtection="1">
      <alignment vertical="center"/>
      <protection hidden="1"/>
    </xf>
    <xf numFmtId="0" fontId="30" fillId="0" borderId="257" xfId="4" applyFont="1" applyBorder="1">
      <alignment vertical="center"/>
    </xf>
    <xf numFmtId="0" fontId="30" fillId="0" borderId="245" xfId="4" applyFont="1" applyBorder="1">
      <alignment vertical="center"/>
    </xf>
    <xf numFmtId="0" fontId="30" fillId="0" borderId="316" xfId="4" applyFont="1" applyBorder="1">
      <alignment vertical="center"/>
    </xf>
    <xf numFmtId="49" fontId="17" fillId="0" borderId="0" xfId="4" applyNumberFormat="1" applyFont="1" applyAlignment="1" applyProtection="1">
      <alignment horizontal="left" vertical="center"/>
      <protection hidden="1"/>
    </xf>
    <xf numFmtId="0" fontId="30" fillId="0" borderId="211" xfId="4" applyFont="1" applyBorder="1">
      <alignment vertical="center"/>
    </xf>
    <xf numFmtId="0" fontId="30" fillId="0" borderId="23" xfId="4" applyFont="1" applyBorder="1">
      <alignment vertical="center"/>
    </xf>
    <xf numFmtId="0" fontId="30" fillId="0" borderId="246" xfId="4" applyFont="1" applyBorder="1">
      <alignment vertical="center"/>
    </xf>
    <xf numFmtId="0" fontId="15" fillId="4" borderId="0" xfId="4" applyFont="1" applyFill="1" applyAlignment="1" applyProtection="1">
      <alignment horizontal="left" vertical="center"/>
      <protection locked="0" hidden="1"/>
    </xf>
    <xf numFmtId="0" fontId="34" fillId="2" borderId="157" xfId="4" applyFont="1" applyFill="1" applyBorder="1" applyAlignment="1">
      <alignment horizontal="center" vertical="center" shrinkToFit="1"/>
    </xf>
    <xf numFmtId="0" fontId="29" fillId="0" borderId="157" xfId="4" applyFont="1" applyBorder="1">
      <alignment vertical="center"/>
    </xf>
    <xf numFmtId="6" fontId="29" fillId="0" borderId="157" xfId="5" applyFont="1" applyBorder="1" applyAlignment="1" applyProtection="1">
      <alignment horizontal="left" vertical="center" shrinkToFit="1"/>
    </xf>
    <xf numFmtId="0" fontId="30" fillId="0" borderId="157" xfId="5" applyNumberFormat="1" applyFont="1" applyBorder="1" applyAlignment="1" applyProtection="1">
      <alignment horizontal="left" vertical="center"/>
    </xf>
    <xf numFmtId="6" fontId="29" fillId="0" borderId="157" xfId="5" applyFont="1" applyBorder="1" applyAlignment="1" applyProtection="1">
      <alignment horizontal="left" vertical="center"/>
    </xf>
    <xf numFmtId="49" fontId="43" fillId="0" borderId="0" xfId="0" applyNumberFormat="1" applyFont="1">
      <alignment vertical="center"/>
    </xf>
    <xf numFmtId="0" fontId="30" fillId="2" borderId="40" xfId="4" applyFont="1" applyFill="1" applyBorder="1" applyAlignment="1">
      <alignment horizontal="left" vertical="center"/>
    </xf>
    <xf numFmtId="6" fontId="30" fillId="0" borderId="157" xfId="5" applyFont="1" applyBorder="1" applyAlignment="1" applyProtection="1">
      <alignment horizontal="left" vertical="center"/>
    </xf>
    <xf numFmtId="0" fontId="43" fillId="26" borderId="0" xfId="0" applyFont="1" applyFill="1" applyProtection="1">
      <alignment vertical="center"/>
      <protection locked="0"/>
    </xf>
    <xf numFmtId="0" fontId="30" fillId="0" borderId="40" xfId="5" applyNumberFormat="1" applyFont="1" applyBorder="1" applyAlignment="1" applyProtection="1">
      <alignment horizontal="left" vertical="center" shrinkToFit="1"/>
    </xf>
    <xf numFmtId="0" fontId="34" fillId="0" borderId="272" xfId="4" applyFont="1" applyBorder="1">
      <alignment vertical="center"/>
    </xf>
    <xf numFmtId="0" fontId="34" fillId="0" borderId="283" xfId="4" applyFont="1" applyBorder="1">
      <alignment vertical="center"/>
    </xf>
    <xf numFmtId="0" fontId="34" fillId="19" borderId="152" xfId="4" applyFont="1" applyFill="1" applyBorder="1">
      <alignment vertical="center"/>
    </xf>
    <xf numFmtId="0" fontId="34" fillId="19" borderId="153" xfId="4" applyFont="1" applyFill="1" applyBorder="1">
      <alignment vertical="center"/>
    </xf>
    <xf numFmtId="0" fontId="34" fillId="19" borderId="322" xfId="4" applyFont="1" applyFill="1" applyBorder="1">
      <alignment vertical="center"/>
    </xf>
    <xf numFmtId="0" fontId="34" fillId="0" borderId="156" xfId="4" applyFont="1" applyBorder="1">
      <alignment vertical="center"/>
    </xf>
    <xf numFmtId="0" fontId="34" fillId="0" borderId="260" xfId="4" applyFont="1" applyBorder="1">
      <alignment vertical="center"/>
    </xf>
    <xf numFmtId="0" fontId="34" fillId="0" borderId="157" xfId="4" applyFont="1" applyBorder="1">
      <alignment vertical="center"/>
    </xf>
    <xf numFmtId="0" fontId="34" fillId="0" borderId="158" xfId="4" applyFont="1" applyBorder="1">
      <alignment vertical="center"/>
    </xf>
    <xf numFmtId="5" fontId="34" fillId="0" borderId="284" xfId="5" applyNumberFormat="1" applyFont="1" applyBorder="1" applyAlignment="1" applyProtection="1">
      <alignment vertical="center" shrinkToFit="1"/>
    </xf>
    <xf numFmtId="0" fontId="34" fillId="0" borderId="283" xfId="6" applyNumberFormat="1" applyFont="1" applyBorder="1" applyAlignment="1" applyProtection="1">
      <alignment horizontal="center" vertical="center" shrinkToFit="1"/>
    </xf>
    <xf numFmtId="0" fontId="34" fillId="19" borderId="99" xfId="4" applyFont="1" applyFill="1" applyBorder="1" applyAlignment="1">
      <alignment vertical="center" shrinkToFit="1"/>
    </xf>
    <xf numFmtId="0" fontId="30" fillId="0" borderId="5" xfId="4" applyFont="1" applyBorder="1">
      <alignment vertical="center"/>
    </xf>
    <xf numFmtId="0" fontId="30" fillId="0" borderId="270" xfId="4" applyFont="1" applyBorder="1">
      <alignment vertical="center"/>
    </xf>
    <xf numFmtId="6" fontId="30" fillId="0" borderId="37" xfId="5" applyFont="1" applyBorder="1" applyAlignment="1" applyProtection="1">
      <alignment horizontal="left" vertical="center"/>
    </xf>
    <xf numFmtId="6" fontId="30" fillId="0" borderId="285" xfId="5" applyFont="1" applyBorder="1" applyAlignment="1" applyProtection="1">
      <alignment horizontal="left" vertical="center"/>
    </xf>
    <xf numFmtId="0" fontId="41" fillId="0" borderId="285" xfId="4" applyFont="1" applyBorder="1">
      <alignment vertical="center"/>
    </xf>
    <xf numFmtId="0" fontId="30" fillId="0" borderId="285" xfId="4" applyFont="1" applyBorder="1">
      <alignment vertical="center"/>
    </xf>
    <xf numFmtId="6" fontId="30" fillId="0" borderId="69" xfId="5" applyFont="1" applyBorder="1" applyAlignment="1" applyProtection="1">
      <alignment horizontal="left" vertical="center"/>
    </xf>
    <xf numFmtId="0" fontId="30" fillId="0" borderId="272" xfId="4" applyFont="1" applyBorder="1">
      <alignment vertical="center"/>
    </xf>
    <xf numFmtId="0" fontId="30" fillId="0" borderId="287" xfId="4" applyFont="1" applyBorder="1">
      <alignment vertical="center"/>
    </xf>
    <xf numFmtId="0" fontId="30" fillId="0" borderId="5" xfId="4" applyFont="1" applyBorder="1" applyProtection="1">
      <alignment vertical="center"/>
      <protection hidden="1"/>
    </xf>
    <xf numFmtId="0" fontId="30" fillId="0" borderId="37" xfId="4" applyFont="1" applyBorder="1" applyProtection="1">
      <alignment vertical="center"/>
      <protection hidden="1"/>
    </xf>
    <xf numFmtId="6" fontId="30" fillId="0" borderId="36" xfId="5" applyFont="1" applyBorder="1" applyAlignment="1" applyProtection="1">
      <alignment horizontal="left" vertical="center"/>
    </xf>
    <xf numFmtId="6" fontId="30" fillId="0" borderId="36" xfId="5" applyFont="1" applyBorder="1" applyAlignment="1" applyProtection="1">
      <alignment vertical="center"/>
    </xf>
    <xf numFmtId="0" fontId="30" fillId="0" borderId="36" xfId="5" applyNumberFormat="1" applyFont="1" applyBorder="1" applyAlignment="1" applyProtection="1">
      <alignment horizontal="left" vertical="center" shrinkToFit="1"/>
    </xf>
    <xf numFmtId="0" fontId="30" fillId="0" borderId="269" xfId="4" applyFont="1" applyBorder="1" applyAlignment="1">
      <alignment vertical="center" shrinkToFit="1"/>
    </xf>
    <xf numFmtId="0" fontId="30" fillId="0" borderId="270" xfId="4" applyFont="1" applyBorder="1" applyAlignment="1">
      <alignment vertical="center" shrinkToFit="1"/>
    </xf>
    <xf numFmtId="6" fontId="29" fillId="0" borderId="212" xfId="5" applyFont="1" applyBorder="1" applyAlignment="1" applyProtection="1">
      <alignment horizontal="left" vertical="center" shrinkToFit="1"/>
    </xf>
    <xf numFmtId="6" fontId="29" fillId="0" borderId="0" xfId="5" applyFont="1" applyBorder="1" applyAlignment="1" applyProtection="1">
      <alignment horizontal="left" vertical="center" wrapText="1" shrinkToFit="1"/>
    </xf>
    <xf numFmtId="184" fontId="34" fillId="0" borderId="0" xfId="5" applyNumberFormat="1" applyFont="1" applyFill="1" applyBorder="1" applyAlignment="1" applyProtection="1">
      <alignment vertical="center" shrinkToFit="1"/>
    </xf>
    <xf numFmtId="184" fontId="29" fillId="0" borderId="0" xfId="5" applyNumberFormat="1" applyFont="1" applyFill="1" applyBorder="1" applyAlignment="1" applyProtection="1">
      <alignment vertical="center" shrinkToFit="1"/>
    </xf>
    <xf numFmtId="49" fontId="31" fillId="0" borderId="0" xfId="13" applyNumberFormat="1" applyFont="1" applyFill="1" applyBorder="1" applyAlignment="1" applyProtection="1">
      <alignment vertical="center" shrinkToFit="1"/>
    </xf>
    <xf numFmtId="49" fontId="31" fillId="0" borderId="34" xfId="13" applyNumberFormat="1" applyFont="1" applyFill="1" applyBorder="1" applyAlignment="1" applyProtection="1">
      <alignment vertical="center" shrinkToFit="1"/>
    </xf>
    <xf numFmtId="0" fontId="17" fillId="26" borderId="6" xfId="4" applyFont="1" applyFill="1" applyBorder="1" applyAlignment="1" applyProtection="1">
      <protection hidden="1"/>
    </xf>
    <xf numFmtId="0" fontId="19" fillId="26" borderId="6" xfId="2" applyFont="1" applyFill="1" applyBorder="1"/>
    <xf numFmtId="0" fontId="17" fillId="26" borderId="6" xfId="0" applyFont="1" applyFill="1" applyBorder="1" applyAlignment="1">
      <alignment horizontal="left" vertical="center" readingOrder="1"/>
    </xf>
    <xf numFmtId="0" fontId="17" fillId="26" borderId="6" xfId="4" applyFont="1" applyFill="1" applyBorder="1" applyProtection="1">
      <alignment vertical="center"/>
      <protection hidden="1"/>
    </xf>
    <xf numFmtId="183" fontId="15" fillId="26" borderId="6" xfId="4" applyNumberFormat="1" applyFont="1" applyFill="1" applyBorder="1" applyAlignment="1" applyProtection="1">
      <alignment horizontal="right" vertical="center"/>
      <protection hidden="1"/>
    </xf>
    <xf numFmtId="0" fontId="115" fillId="66" borderId="0" xfId="4" applyFont="1" applyFill="1" applyAlignment="1">
      <alignment horizontal="left" vertical="center"/>
    </xf>
    <xf numFmtId="0" fontId="115" fillId="30" borderId="40" xfId="4" applyFont="1" applyFill="1" applyBorder="1" applyAlignment="1">
      <alignment horizontal="left" vertical="center"/>
    </xf>
    <xf numFmtId="0" fontId="115" fillId="30" borderId="0" xfId="4" applyFont="1" applyFill="1" applyAlignment="1">
      <alignment horizontal="left" vertical="center"/>
    </xf>
    <xf numFmtId="6" fontId="115" fillId="30" borderId="0" xfId="5" applyFont="1" applyFill="1" applyBorder="1" applyAlignment="1" applyProtection="1">
      <alignment horizontal="left" vertical="center"/>
    </xf>
    <xf numFmtId="179" fontId="34" fillId="0" borderId="1" xfId="5" applyNumberFormat="1" applyFont="1" applyBorder="1" applyAlignment="1" applyProtection="1">
      <alignment vertical="center" shrinkToFit="1"/>
    </xf>
    <xf numFmtId="0" fontId="34" fillId="0" borderId="327" xfId="4" applyFont="1" applyBorder="1" applyAlignment="1">
      <alignment horizontal="center" vertical="center" shrinkToFit="1"/>
    </xf>
    <xf numFmtId="0" fontId="29" fillId="0" borderId="327" xfId="4" applyFont="1" applyBorder="1" applyAlignment="1">
      <alignment horizontal="left" vertical="center" wrapText="1"/>
    </xf>
    <xf numFmtId="0" fontId="29" fillId="0" borderId="327" xfId="4" applyFont="1" applyBorder="1" applyAlignment="1">
      <alignment horizontal="center" vertical="center"/>
    </xf>
    <xf numFmtId="6" fontId="34" fillId="0" borderId="327" xfId="5" applyFont="1" applyBorder="1" applyAlignment="1" applyProtection="1">
      <alignment horizontal="right" vertical="center" shrinkToFit="1"/>
    </xf>
    <xf numFmtId="10" fontId="34" fillId="0" borderId="327" xfId="6" applyNumberFormat="1" applyFont="1" applyBorder="1" applyAlignment="1" applyProtection="1">
      <alignment horizontal="right" vertical="center" shrinkToFit="1"/>
    </xf>
    <xf numFmtId="0" fontId="29" fillId="0" borderId="327" xfId="4" applyFont="1" applyBorder="1" applyAlignment="1">
      <alignment horizontal="left" vertical="center" shrinkToFit="1"/>
    </xf>
    <xf numFmtId="6" fontId="34" fillId="0" borderId="327" xfId="5" applyFont="1" applyFill="1" applyBorder="1" applyAlignment="1" applyProtection="1">
      <alignment horizontal="right" vertical="center" shrinkToFit="1"/>
    </xf>
    <xf numFmtId="0" fontId="5" fillId="21" borderId="274" xfId="4" applyFont="1" applyFill="1" applyBorder="1" applyProtection="1">
      <alignment vertical="center"/>
      <protection hidden="1"/>
    </xf>
    <xf numFmtId="0" fontId="5" fillId="21" borderId="6" xfId="4" applyFont="1" applyFill="1" applyBorder="1" applyProtection="1">
      <alignment vertical="center"/>
      <protection locked="0" hidden="1"/>
    </xf>
    <xf numFmtId="0" fontId="9" fillId="65" borderId="6" xfId="4" applyFont="1" applyFill="1" applyBorder="1" applyAlignment="1" applyProtection="1">
      <alignment vertical="center" shrinkToFit="1"/>
      <protection hidden="1"/>
    </xf>
    <xf numFmtId="0" fontId="9" fillId="65" borderId="6" xfId="4" applyFont="1" applyFill="1" applyBorder="1" applyAlignment="1" applyProtection="1">
      <alignment horizontal="right" vertical="center" shrinkToFit="1"/>
      <protection hidden="1"/>
    </xf>
    <xf numFmtId="0" fontId="9" fillId="21" borderId="9" xfId="4" applyFont="1" applyFill="1" applyBorder="1" applyAlignment="1" applyProtection="1">
      <alignment vertical="center" shrinkToFit="1"/>
      <protection hidden="1"/>
    </xf>
    <xf numFmtId="10" fontId="5" fillId="21" borderId="6" xfId="6" applyNumberFormat="1" applyFont="1" applyFill="1" applyBorder="1" applyProtection="1">
      <alignment vertical="center"/>
      <protection hidden="1"/>
    </xf>
    <xf numFmtId="185" fontId="5" fillId="21" borderId="6" xfId="4" applyNumberFormat="1" applyFont="1" applyFill="1" applyBorder="1" applyProtection="1">
      <alignment vertical="center"/>
      <protection hidden="1"/>
    </xf>
    <xf numFmtId="0" fontId="15" fillId="4" borderId="6" xfId="4" applyFont="1" applyFill="1" applyBorder="1" applyProtection="1">
      <alignment vertical="center"/>
      <protection locked="0" hidden="1"/>
    </xf>
    <xf numFmtId="10" fontId="15" fillId="4" borderId="6" xfId="6" applyNumberFormat="1" applyFont="1" applyFill="1" applyBorder="1" applyProtection="1">
      <alignment vertical="center"/>
      <protection hidden="1"/>
    </xf>
    <xf numFmtId="185" fontId="15" fillId="4" borderId="6" xfId="4" applyNumberFormat="1" applyFont="1" applyFill="1" applyBorder="1" applyProtection="1">
      <alignment vertical="center"/>
      <protection hidden="1"/>
    </xf>
    <xf numFmtId="0" fontId="5" fillId="5" borderId="274" xfId="4" applyFont="1" applyFill="1" applyBorder="1" applyProtection="1">
      <alignment vertical="center"/>
      <protection hidden="1"/>
    </xf>
    <xf numFmtId="49" fontId="30" fillId="0" borderId="200" xfId="4" applyNumberFormat="1" applyFont="1" applyBorder="1" applyAlignment="1">
      <alignment horizontal="center" vertical="center" shrinkToFit="1"/>
    </xf>
    <xf numFmtId="0" fontId="34" fillId="19" borderId="39" xfId="4" applyFont="1" applyFill="1" applyBorder="1" applyAlignment="1">
      <alignment horizontal="center" vertical="center" shrinkToFit="1"/>
    </xf>
    <xf numFmtId="0" fontId="34" fillId="19" borderId="40" xfId="4" applyFont="1" applyFill="1" applyBorder="1" applyAlignment="1">
      <alignment horizontal="center" vertical="center" shrinkToFit="1"/>
    </xf>
    <xf numFmtId="0" fontId="34" fillId="19" borderId="41" xfId="4" applyFont="1" applyFill="1" applyBorder="1" applyAlignment="1">
      <alignment horizontal="center" vertical="center" shrinkToFit="1"/>
    </xf>
    <xf numFmtId="0" fontId="66" fillId="0" borderId="274" xfId="0" applyFont="1" applyBorder="1" applyAlignment="1">
      <alignment horizontal="center" vertical="center"/>
    </xf>
    <xf numFmtId="0" fontId="43" fillId="0" borderId="274" xfId="0" applyFont="1" applyBorder="1" applyAlignment="1">
      <alignment horizontal="center" vertical="center"/>
    </xf>
    <xf numFmtId="0" fontId="43" fillId="0" borderId="148" xfId="0" applyFont="1" applyBorder="1" applyAlignment="1">
      <alignment horizontal="center" vertical="center"/>
    </xf>
    <xf numFmtId="0" fontId="42" fillId="19" borderId="30" xfId="0" applyFont="1" applyFill="1" applyBorder="1">
      <alignment vertical="center"/>
    </xf>
    <xf numFmtId="0" fontId="42" fillId="19" borderId="83" xfId="0" applyFont="1" applyFill="1" applyBorder="1" applyAlignment="1">
      <alignment horizontal="center" vertical="center"/>
    </xf>
    <xf numFmtId="0" fontId="31" fillId="0" borderId="0" xfId="0" applyFont="1" applyProtection="1">
      <alignment vertical="center"/>
      <protection locked="0"/>
    </xf>
    <xf numFmtId="0" fontId="31" fillId="26" borderId="0" xfId="0" applyFont="1" applyFill="1" applyProtection="1">
      <alignment vertical="center"/>
      <protection locked="0"/>
    </xf>
    <xf numFmtId="10" fontId="52" fillId="60" borderId="330" xfId="6" applyNumberFormat="1" applyFont="1" applyFill="1" applyBorder="1" applyAlignment="1" applyProtection="1">
      <alignment vertical="center" shrinkToFit="1"/>
    </xf>
    <xf numFmtId="0" fontId="34" fillId="2" borderId="40" xfId="4" applyFont="1" applyFill="1" applyBorder="1" applyAlignment="1">
      <alignment horizontal="center" vertical="center" shrinkToFit="1"/>
    </xf>
    <xf numFmtId="0" fontId="29" fillId="0" borderId="245" xfId="0" applyFont="1" applyBorder="1" applyAlignment="1">
      <alignment vertical="center" shrinkToFit="1"/>
    </xf>
    <xf numFmtId="0" fontId="34" fillId="0" borderId="285" xfId="4" applyFont="1" applyBorder="1" applyAlignment="1">
      <alignment horizontal="center" vertical="center" shrinkToFit="1"/>
    </xf>
    <xf numFmtId="0" fontId="29" fillId="0" borderId="40" xfId="4" applyFont="1" applyBorder="1">
      <alignment vertical="center"/>
    </xf>
    <xf numFmtId="6" fontId="29" fillId="0" borderId="245" xfId="5" applyFont="1" applyBorder="1" applyAlignment="1" applyProtection="1">
      <alignment horizontal="left" vertical="center" shrinkToFit="1"/>
      <protection locked="0"/>
    </xf>
    <xf numFmtId="0" fontId="31" fillId="0" borderId="273" xfId="4" applyFont="1" applyBorder="1" applyProtection="1">
      <alignment vertical="center"/>
      <protection locked="0"/>
    </xf>
    <xf numFmtId="0" fontId="31" fillId="0" borderId="273" xfId="4" applyFont="1" applyBorder="1" applyProtection="1">
      <alignment vertical="center"/>
      <protection hidden="1"/>
    </xf>
    <xf numFmtId="0" fontId="31" fillId="0" borderId="38" xfId="4" applyFont="1" applyBorder="1" applyProtection="1">
      <alignment vertical="center"/>
      <protection hidden="1"/>
    </xf>
    <xf numFmtId="0" fontId="31" fillId="0" borderId="36" xfId="4" applyFont="1" applyBorder="1" applyProtection="1">
      <alignment vertical="center"/>
      <protection locked="0"/>
    </xf>
    <xf numFmtId="0" fontId="31" fillId="0" borderId="54" xfId="4" applyFont="1" applyBorder="1" applyProtection="1">
      <alignment vertical="center"/>
      <protection hidden="1"/>
    </xf>
    <xf numFmtId="0" fontId="31" fillId="0" borderId="271" xfId="4" applyFont="1" applyBorder="1" applyProtection="1">
      <alignment vertical="center"/>
      <protection locked="0"/>
    </xf>
    <xf numFmtId="0" fontId="29" fillId="0" borderId="257" xfId="4" applyFont="1" applyBorder="1" applyAlignment="1">
      <alignment vertical="center" shrinkToFit="1"/>
    </xf>
    <xf numFmtId="0" fontId="43" fillId="0" borderId="0" xfId="4" applyFont="1" applyAlignment="1">
      <alignment horizontal="left" vertical="center"/>
    </xf>
    <xf numFmtId="0" fontId="15" fillId="0" borderId="17" xfId="4" applyFont="1" applyBorder="1" applyAlignment="1" applyProtection="1">
      <alignment horizontal="left" vertical="center"/>
      <protection locked="0"/>
    </xf>
    <xf numFmtId="0" fontId="5" fillId="0" borderId="270" xfId="4" applyFont="1" applyBorder="1" applyProtection="1">
      <alignment vertical="center"/>
      <protection hidden="1"/>
    </xf>
    <xf numFmtId="0" fontId="5" fillId="0" borderId="270" xfId="4" applyFont="1" applyBorder="1" applyProtection="1">
      <alignment vertical="center"/>
      <protection locked="0" hidden="1"/>
    </xf>
    <xf numFmtId="0" fontId="5" fillId="0" borderId="270" xfId="4" applyFont="1" applyBorder="1" applyAlignment="1" applyProtection="1">
      <alignment vertical="center" shrinkToFit="1"/>
      <protection hidden="1"/>
    </xf>
    <xf numFmtId="6" fontId="5" fillId="5" borderId="270" xfId="13" applyFont="1" applyFill="1" applyBorder="1" applyAlignment="1" applyProtection="1">
      <alignment vertical="center" shrinkToFit="1"/>
      <protection hidden="1"/>
    </xf>
    <xf numFmtId="10" fontId="5" fillId="5" borderId="270" xfId="18" applyNumberFormat="1" applyFont="1" applyFill="1" applyBorder="1" applyAlignment="1" applyProtection="1">
      <alignment vertical="center" shrinkToFit="1"/>
      <protection hidden="1"/>
    </xf>
    <xf numFmtId="0" fontId="15" fillId="26" borderId="270" xfId="4" applyFont="1" applyFill="1" applyBorder="1" applyProtection="1">
      <alignment vertical="center"/>
      <protection hidden="1"/>
    </xf>
    <xf numFmtId="0" fontId="15" fillId="0" borderId="270" xfId="4" applyFont="1" applyBorder="1" applyAlignment="1" applyProtection="1">
      <alignment horizontal="left" vertical="center"/>
      <protection locked="0"/>
    </xf>
    <xf numFmtId="0" fontId="15" fillId="5" borderId="270" xfId="4" applyFont="1" applyFill="1" applyBorder="1" applyAlignment="1" applyProtection="1">
      <alignment horizontal="left" vertical="center"/>
      <protection locked="0"/>
    </xf>
    <xf numFmtId="0" fontId="15" fillId="0" borderId="270" xfId="4" applyFont="1" applyBorder="1" applyAlignment="1" applyProtection="1">
      <alignment horizontal="left" vertical="center"/>
      <protection locked="0" hidden="1"/>
    </xf>
    <xf numFmtId="0" fontId="15" fillId="26" borderId="270" xfId="4" applyFont="1" applyFill="1" applyBorder="1" applyAlignment="1" applyProtection="1">
      <alignment horizontal="left" vertical="center"/>
      <protection locked="0" hidden="1"/>
    </xf>
    <xf numFmtId="0" fontId="34" fillId="0" borderId="66" xfId="4" applyFont="1" applyBorder="1" applyAlignment="1">
      <alignment horizontal="center" vertical="center" shrinkToFit="1"/>
    </xf>
    <xf numFmtId="0" fontId="17" fillId="4" borderId="274" xfId="2" applyFont="1" applyFill="1" applyBorder="1"/>
    <xf numFmtId="49" fontId="17" fillId="4" borderId="274" xfId="4" applyNumberFormat="1" applyFont="1" applyFill="1" applyBorder="1">
      <alignment vertical="center"/>
    </xf>
    <xf numFmtId="49" fontId="17" fillId="4" borderId="274" xfId="4" applyNumberFormat="1" applyFont="1" applyFill="1" applyBorder="1" applyAlignment="1">
      <alignment horizontal="left" vertical="center"/>
    </xf>
    <xf numFmtId="49" fontId="20" fillId="4" borderId="274" xfId="2" applyNumberFormat="1" applyFont="1" applyFill="1" applyBorder="1"/>
    <xf numFmtId="0" fontId="34" fillId="2" borderId="230" xfId="4" applyFont="1" applyFill="1" applyBorder="1" applyAlignment="1">
      <alignment vertical="center" shrinkToFit="1"/>
    </xf>
    <xf numFmtId="0" fontId="34" fillId="2" borderId="148" xfId="4" applyFont="1" applyFill="1" applyBorder="1" applyAlignment="1">
      <alignment vertical="center" shrinkToFit="1"/>
    </xf>
    <xf numFmtId="0" fontId="30" fillId="0" borderId="148" xfId="4" applyFont="1" applyBorder="1">
      <alignment vertical="center"/>
    </xf>
    <xf numFmtId="0" fontId="30" fillId="0" borderId="42" xfId="4" applyFont="1" applyBorder="1" applyAlignment="1">
      <alignment vertical="center" wrapText="1"/>
    </xf>
    <xf numFmtId="0" fontId="30" fillId="0" borderId="40" xfId="4" applyFont="1" applyBorder="1" applyAlignment="1">
      <alignment vertical="center" wrapText="1"/>
    </xf>
    <xf numFmtId="0" fontId="30" fillId="0" borderId="43" xfId="4" applyFont="1" applyBorder="1" applyAlignment="1">
      <alignment vertical="center" wrapText="1"/>
    </xf>
    <xf numFmtId="0" fontId="30" fillId="2" borderId="42" xfId="4" applyFont="1" applyFill="1" applyBorder="1">
      <alignment vertical="center"/>
    </xf>
    <xf numFmtId="0" fontId="30" fillId="2" borderId="40" xfId="4" applyFont="1" applyFill="1" applyBorder="1">
      <alignment vertical="center"/>
    </xf>
    <xf numFmtId="0" fontId="30" fillId="0" borderId="269" xfId="4" applyFont="1" applyBorder="1">
      <alignment vertical="center"/>
    </xf>
    <xf numFmtId="6" fontId="30" fillId="0" borderId="270" xfId="5" applyFont="1" applyBorder="1" applyAlignment="1" applyProtection="1">
      <alignment horizontal="left" vertical="center"/>
    </xf>
    <xf numFmtId="6" fontId="30" fillId="0" borderId="270" xfId="5" applyFont="1" applyBorder="1" applyAlignment="1" applyProtection="1">
      <alignment vertical="center"/>
    </xf>
    <xf numFmtId="6" fontId="30" fillId="0" borderId="202" xfId="5" applyFont="1" applyBorder="1" applyAlignment="1" applyProtection="1">
      <alignment horizontal="left" vertical="center"/>
    </xf>
    <xf numFmtId="0" fontId="41" fillId="0" borderId="270" xfId="4" applyFont="1" applyBorder="1">
      <alignment vertical="center"/>
    </xf>
    <xf numFmtId="184" fontId="30" fillId="0" borderId="36" xfId="5" applyNumberFormat="1" applyFont="1" applyFill="1" applyBorder="1" applyAlignment="1" applyProtection="1">
      <alignment horizontal="left" vertical="center"/>
    </xf>
    <xf numFmtId="184" fontId="30" fillId="0" borderId="80" xfId="5" applyNumberFormat="1" applyFont="1" applyFill="1" applyBorder="1" applyAlignment="1" applyProtection="1">
      <alignment horizontal="left" vertical="center"/>
    </xf>
    <xf numFmtId="184" fontId="30" fillId="0" borderId="212" xfId="13" applyNumberFormat="1" applyFont="1" applyFill="1" applyBorder="1" applyAlignment="1" applyProtection="1">
      <alignment vertical="center"/>
    </xf>
    <xf numFmtId="184" fontId="30" fillId="0" borderId="0" xfId="13" applyNumberFormat="1" applyFont="1" applyFill="1" applyBorder="1" applyAlignment="1" applyProtection="1">
      <alignment vertical="center"/>
    </xf>
    <xf numFmtId="0" fontId="60" fillId="0" borderId="339" xfId="4" applyFont="1" applyBorder="1" applyAlignment="1">
      <alignment horizontal="center" vertical="center" shrinkToFit="1"/>
    </xf>
    <xf numFmtId="0" fontId="60" fillId="0" borderId="40" xfId="4" applyFont="1" applyBorder="1" applyAlignment="1">
      <alignment horizontal="center" vertical="center" shrinkToFit="1"/>
    </xf>
    <xf numFmtId="0" fontId="60" fillId="0" borderId="43" xfId="4" applyFont="1" applyBorder="1" applyAlignment="1">
      <alignment horizontal="center" vertical="center" shrinkToFit="1"/>
    </xf>
    <xf numFmtId="0" fontId="17" fillId="0" borderId="274" xfId="0" applyFont="1" applyBorder="1" applyAlignment="1">
      <alignment horizontal="left" vertical="center" readingOrder="1"/>
    </xf>
    <xf numFmtId="0" fontId="17" fillId="4" borderId="6" xfId="4" applyFont="1" applyFill="1" applyBorder="1" applyAlignment="1" applyProtection="1">
      <alignment horizontal="left" vertical="center"/>
      <protection hidden="1"/>
    </xf>
    <xf numFmtId="49" fontId="28" fillId="26" borderId="0" xfId="0" applyNumberFormat="1" applyFont="1" applyFill="1" applyProtection="1">
      <alignment vertical="center"/>
      <protection locked="0"/>
    </xf>
    <xf numFmtId="49" fontId="30" fillId="28" borderId="0" xfId="4" applyNumberFormat="1" applyFont="1" applyFill="1">
      <alignment vertical="center"/>
    </xf>
    <xf numFmtId="0" fontId="30" fillId="68" borderId="42" xfId="4" applyFont="1" applyFill="1" applyBorder="1">
      <alignment vertical="center"/>
    </xf>
    <xf numFmtId="0" fontId="30" fillId="68" borderId="40" xfId="4" applyFont="1" applyFill="1" applyBorder="1">
      <alignment vertical="center"/>
    </xf>
    <xf numFmtId="0" fontId="12" fillId="21" borderId="0" xfId="0" applyFont="1" applyFill="1">
      <alignment vertical="center"/>
    </xf>
    <xf numFmtId="0" fontId="43" fillId="0" borderId="276" xfId="0" applyFont="1" applyBorder="1" applyAlignment="1">
      <alignment horizontal="center" vertical="center"/>
    </xf>
    <xf numFmtId="0" fontId="66" fillId="0" borderId="11" xfId="0" applyFont="1" applyBorder="1" applyAlignment="1">
      <alignment horizontal="center" vertical="center"/>
    </xf>
    <xf numFmtId="0" fontId="42" fillId="8" borderId="273" xfId="0" applyFont="1" applyFill="1" applyBorder="1">
      <alignment vertical="center"/>
    </xf>
    <xf numFmtId="0" fontId="42" fillId="19" borderId="82" xfId="0" applyFont="1" applyFill="1" applyBorder="1" applyAlignment="1">
      <alignment horizontal="center" vertical="center"/>
    </xf>
    <xf numFmtId="0" fontId="34" fillId="19" borderId="33" xfId="4" applyFont="1" applyFill="1" applyBorder="1" applyAlignment="1">
      <alignment vertical="center" wrapText="1" shrinkToFit="1"/>
    </xf>
    <xf numFmtId="0" fontId="34" fillId="19" borderId="0" xfId="4" applyFont="1" applyFill="1" applyAlignment="1">
      <alignment vertical="center" wrapText="1" shrinkToFit="1"/>
    </xf>
    <xf numFmtId="0" fontId="34" fillId="19" borderId="39" xfId="4" applyFont="1" applyFill="1" applyBorder="1" applyAlignment="1">
      <alignment vertical="center" wrapText="1" shrinkToFit="1"/>
    </xf>
    <xf numFmtId="0" fontId="34" fillId="19" borderId="40" xfId="4" applyFont="1" applyFill="1" applyBorder="1" applyAlignment="1">
      <alignment vertical="center" wrapText="1" shrinkToFit="1"/>
    </xf>
    <xf numFmtId="0" fontId="34" fillId="0" borderId="36" xfId="4" applyFont="1" applyBorder="1">
      <alignment vertical="center"/>
    </xf>
    <xf numFmtId="0" fontId="34" fillId="0" borderId="245" xfId="4" applyFont="1" applyBorder="1">
      <alignment vertical="center"/>
    </xf>
    <xf numFmtId="0" fontId="34" fillId="0" borderId="245" xfId="13" applyNumberFormat="1" applyFont="1" applyFill="1" applyBorder="1" applyAlignment="1" applyProtection="1">
      <alignment vertical="center"/>
    </xf>
    <xf numFmtId="0" fontId="19" fillId="0" borderId="274" xfId="2" applyFont="1" applyBorder="1" applyAlignment="1">
      <alignment vertical="center"/>
    </xf>
    <xf numFmtId="0" fontId="34" fillId="8" borderId="273" xfId="4" applyFont="1" applyFill="1" applyBorder="1" applyAlignment="1">
      <alignment horizontal="center" vertical="center" shrinkToFit="1"/>
    </xf>
    <xf numFmtId="0" fontId="34" fillId="8" borderId="283" xfId="4" applyFont="1" applyFill="1" applyBorder="1" applyAlignment="1">
      <alignment horizontal="center" vertical="center" shrinkToFit="1"/>
    </xf>
    <xf numFmtId="0" fontId="34" fillId="2" borderId="258" xfId="4" applyFont="1" applyFill="1" applyBorder="1" applyAlignment="1" applyProtection="1">
      <alignment horizontal="center" vertical="center" shrinkToFit="1"/>
      <protection locked="0"/>
    </xf>
    <xf numFmtId="0" fontId="34" fillId="2" borderId="157" xfId="4" applyFont="1" applyFill="1" applyBorder="1" applyAlignment="1" applyProtection="1">
      <alignment horizontal="center" vertical="center" shrinkToFit="1"/>
      <protection locked="0"/>
    </xf>
    <xf numFmtId="0" fontId="29" fillId="0" borderId="157" xfId="4" applyFont="1" applyBorder="1" applyProtection="1">
      <alignment vertical="center"/>
      <protection locked="0"/>
    </xf>
    <xf numFmtId="6" fontId="29" fillId="0" borderId="157" xfId="5" applyFont="1" applyBorder="1" applyAlignment="1" applyProtection="1">
      <alignment horizontal="left" vertical="center" shrinkToFit="1"/>
      <protection locked="0"/>
    </xf>
    <xf numFmtId="6" fontId="29" fillId="0" borderId="158" xfId="5" applyFont="1" applyBorder="1" applyAlignment="1" applyProtection="1">
      <alignment horizontal="left" vertical="center" shrinkToFit="1"/>
      <protection locked="0"/>
    </xf>
    <xf numFmtId="6" fontId="34" fillId="0" borderId="8" xfId="13" applyFont="1" applyFill="1" applyBorder="1" applyAlignment="1" applyProtection="1">
      <alignment vertical="center" shrinkToFit="1"/>
    </xf>
    <xf numFmtId="6" fontId="34" fillId="0" borderId="0" xfId="13" applyFont="1" applyFill="1" applyBorder="1" applyAlignment="1" applyProtection="1">
      <alignment vertical="center" shrinkToFit="1"/>
    </xf>
    <xf numFmtId="10" fontId="34" fillId="0" borderId="0" xfId="5" applyNumberFormat="1" applyFont="1" applyBorder="1" applyAlignment="1" applyProtection="1">
      <alignment vertical="center" shrinkToFit="1"/>
    </xf>
    <xf numFmtId="6" fontId="34" fillId="0" borderId="0" xfId="13" applyFont="1" applyBorder="1" applyAlignment="1" applyProtection="1">
      <alignment vertical="center" shrinkToFit="1"/>
    </xf>
    <xf numFmtId="0" fontId="29" fillId="0" borderId="0" xfId="5" applyNumberFormat="1" applyFont="1" applyBorder="1" applyAlignment="1" applyProtection="1">
      <alignment vertical="center" shrinkToFit="1"/>
    </xf>
    <xf numFmtId="0" fontId="29" fillId="0" borderId="0" xfId="5" applyNumberFormat="1" applyFont="1" applyBorder="1" applyAlignment="1" applyProtection="1">
      <alignment vertical="center"/>
    </xf>
    <xf numFmtId="0" fontId="29" fillId="0" borderId="34" xfId="5" applyNumberFormat="1" applyFont="1" applyBorder="1" applyAlignment="1" applyProtection="1">
      <alignment vertical="center"/>
    </xf>
    <xf numFmtId="0" fontId="20" fillId="21" borderId="274" xfId="4" applyFont="1" applyFill="1" applyBorder="1" applyAlignment="1" applyProtection="1">
      <alignment horizontal="right" vertical="center"/>
      <protection hidden="1"/>
    </xf>
    <xf numFmtId="0" fontId="43" fillId="0" borderId="274" xfId="0" applyFont="1" applyBorder="1" applyAlignment="1">
      <alignment horizontal="center" vertical="center" shrinkToFit="1"/>
    </xf>
    <xf numFmtId="0" fontId="5" fillId="27" borderId="6" xfId="4" applyFont="1" applyFill="1" applyBorder="1" applyProtection="1">
      <alignment vertical="center"/>
      <protection locked="0"/>
    </xf>
    <xf numFmtId="0" fontId="5" fillId="27" borderId="274" xfId="4" applyFont="1" applyFill="1" applyBorder="1" applyProtection="1">
      <alignment vertical="center"/>
      <protection locked="0"/>
    </xf>
    <xf numFmtId="0" fontId="5" fillId="27" borderId="274" xfId="4" applyFont="1" applyFill="1" applyBorder="1" applyProtection="1">
      <alignment vertical="center"/>
      <protection hidden="1"/>
    </xf>
    <xf numFmtId="49" fontId="5" fillId="0" borderId="274" xfId="4" applyNumberFormat="1" applyFont="1" applyBorder="1" applyProtection="1">
      <alignment vertical="center"/>
      <protection hidden="1"/>
    </xf>
    <xf numFmtId="0" fontId="15" fillId="0" borderId="274" xfId="4" applyFont="1" applyBorder="1" applyProtection="1">
      <alignment vertical="center"/>
      <protection hidden="1"/>
    </xf>
    <xf numFmtId="6" fontId="5" fillId="0" borderId="274" xfId="13" applyFont="1" applyFill="1" applyBorder="1" applyAlignment="1" applyProtection="1">
      <alignment vertical="center" shrinkToFit="1"/>
      <protection hidden="1"/>
    </xf>
    <xf numFmtId="10" fontId="5" fillId="0" borderId="274" xfId="18" applyNumberFormat="1" applyFont="1" applyFill="1" applyBorder="1" applyProtection="1">
      <alignment vertical="center"/>
      <protection hidden="1"/>
    </xf>
    <xf numFmtId="185" fontId="5" fillId="0" borderId="274" xfId="13" applyNumberFormat="1" applyFont="1" applyFill="1" applyBorder="1" applyProtection="1">
      <alignment vertical="center"/>
      <protection hidden="1"/>
    </xf>
    <xf numFmtId="0" fontId="17" fillId="0" borderId="274" xfId="4" applyFont="1" applyBorder="1" applyAlignment="1" applyProtection="1">
      <protection hidden="1"/>
    </xf>
    <xf numFmtId="0" fontId="17" fillId="4" borderId="274" xfId="4" applyFont="1" applyFill="1" applyBorder="1" applyAlignment="1" applyProtection="1">
      <protection hidden="1"/>
    </xf>
    <xf numFmtId="0" fontId="20" fillId="27" borderId="274" xfId="2" applyFont="1" applyFill="1" applyBorder="1"/>
    <xf numFmtId="0" fontId="17" fillId="27" borderId="274" xfId="4" applyFont="1" applyFill="1" applyBorder="1" applyProtection="1">
      <alignment vertical="center"/>
      <protection hidden="1"/>
    </xf>
    <xf numFmtId="6" fontId="34" fillId="16" borderId="313" xfId="13" applyFont="1" applyFill="1" applyBorder="1" applyAlignment="1" applyProtection="1">
      <alignment vertical="center" shrinkToFit="1"/>
      <protection locked="0"/>
    </xf>
    <xf numFmtId="6" fontId="34" fillId="16" borderId="314" xfId="13" applyFont="1" applyFill="1" applyBorder="1" applyAlignment="1" applyProtection="1">
      <alignment vertical="center" shrinkToFit="1"/>
      <protection locked="0"/>
    </xf>
    <xf numFmtId="6" fontId="34" fillId="16" borderId="315" xfId="13" applyFont="1" applyFill="1" applyBorder="1" applyAlignment="1" applyProtection="1">
      <alignment vertical="center" shrinkToFit="1"/>
      <protection locked="0"/>
    </xf>
    <xf numFmtId="0" fontId="19" fillId="0" borderId="6" xfId="2" applyFont="1" applyBorder="1" applyAlignment="1">
      <alignment horizontal="left" vertical="top"/>
    </xf>
    <xf numFmtId="0" fontId="23" fillId="30" borderId="274" xfId="2" applyFont="1" applyFill="1" applyBorder="1" applyAlignment="1">
      <alignment vertical="center"/>
    </xf>
    <xf numFmtId="0" fontId="15" fillId="30" borderId="274" xfId="4" applyFont="1" applyFill="1" applyBorder="1" applyProtection="1">
      <alignment vertical="center"/>
      <protection hidden="1"/>
    </xf>
    <xf numFmtId="10" fontId="5" fillId="30" borderId="6" xfId="6" applyNumberFormat="1" applyFont="1" applyFill="1" applyBorder="1" applyProtection="1">
      <alignment vertical="center"/>
      <protection hidden="1"/>
    </xf>
    <xf numFmtId="0" fontId="60" fillId="0" borderId="285" xfId="4" applyFont="1" applyBorder="1" applyAlignment="1">
      <alignment horizontal="center" vertical="center" shrinkToFit="1"/>
    </xf>
    <xf numFmtId="0" fontId="60" fillId="0" borderId="268" xfId="4" applyFont="1" applyBorder="1" applyAlignment="1">
      <alignment horizontal="center" vertical="center" shrinkToFit="1"/>
    </xf>
    <xf numFmtId="0" fontId="66" fillId="0" borderId="31" xfId="0" applyFont="1" applyBorder="1" applyAlignment="1">
      <alignment horizontal="center" vertical="center"/>
    </xf>
    <xf numFmtId="0" fontId="43" fillId="0" borderId="0" xfId="0" applyFont="1" applyAlignment="1">
      <alignment horizontal="center" vertical="center"/>
    </xf>
    <xf numFmtId="0" fontId="34" fillId="7" borderId="282" xfId="4" applyFont="1" applyFill="1" applyBorder="1" applyAlignment="1">
      <alignment vertical="center" wrapText="1"/>
    </xf>
    <xf numFmtId="0" fontId="34" fillId="7" borderId="273" xfId="4" applyFont="1" applyFill="1" applyBorder="1" applyAlignment="1">
      <alignment vertical="center" wrapText="1"/>
    </xf>
    <xf numFmtId="0" fontId="34" fillId="7" borderId="275" xfId="4" applyFont="1" applyFill="1" applyBorder="1" applyAlignment="1">
      <alignment vertical="center" wrapText="1"/>
    </xf>
    <xf numFmtId="0" fontId="34" fillId="7" borderId="33" xfId="4" applyFont="1" applyFill="1" applyBorder="1" applyAlignment="1">
      <alignment vertical="center" wrapText="1"/>
    </xf>
    <xf numFmtId="0" fontId="34" fillId="7" borderId="0" xfId="4" applyFont="1" applyFill="1" applyAlignment="1">
      <alignment vertical="center" wrapText="1"/>
    </xf>
    <xf numFmtId="0" fontId="34" fillId="7" borderId="38" xfId="4" applyFont="1" applyFill="1" applyBorder="1" applyAlignment="1">
      <alignment vertical="center" wrapText="1"/>
    </xf>
    <xf numFmtId="0" fontId="34" fillId="0" borderId="215" xfId="4" applyFont="1" applyBorder="1" applyAlignment="1">
      <alignment vertical="center" shrinkToFit="1"/>
    </xf>
    <xf numFmtId="0" fontId="29" fillId="0" borderId="34" xfId="4" applyFont="1" applyBorder="1" applyAlignment="1">
      <alignment horizontal="left" vertical="center" shrinkToFit="1"/>
    </xf>
    <xf numFmtId="0" fontId="34" fillId="7" borderId="39" xfId="4" applyFont="1" applyFill="1" applyBorder="1" applyAlignment="1">
      <alignment vertical="center" wrapText="1"/>
    </xf>
    <xf numFmtId="0" fontId="34" fillId="7" borderId="40" xfId="4" applyFont="1" applyFill="1" applyBorder="1" applyAlignment="1">
      <alignment vertical="center" wrapText="1"/>
    </xf>
    <xf numFmtId="0" fontId="34" fillId="7" borderId="41" xfId="4" applyFont="1" applyFill="1" applyBorder="1" applyAlignment="1">
      <alignment vertical="center" wrapText="1"/>
    </xf>
    <xf numFmtId="0" fontId="34" fillId="0" borderId="348" xfId="4" applyFont="1" applyBorder="1" applyAlignment="1">
      <alignment vertical="center" shrinkToFit="1"/>
    </xf>
    <xf numFmtId="6" fontId="34" fillId="0" borderId="40" xfId="5" applyFont="1" applyBorder="1" applyAlignment="1" applyProtection="1">
      <alignment horizontal="right" vertical="center" shrinkToFit="1"/>
    </xf>
    <xf numFmtId="10" fontId="34" fillId="0" borderId="40" xfId="6" applyNumberFormat="1" applyFont="1" applyBorder="1" applyAlignment="1" applyProtection="1">
      <alignment horizontal="right" vertical="center" shrinkToFit="1"/>
    </xf>
    <xf numFmtId="0" fontId="29" fillId="0" borderId="40" xfId="4" applyFont="1" applyBorder="1" applyAlignment="1">
      <alignment horizontal="left" vertical="center" shrinkToFit="1"/>
    </xf>
    <xf numFmtId="6" fontId="34" fillId="0" borderId="40" xfId="5" applyFont="1" applyFill="1" applyBorder="1" applyAlignment="1" applyProtection="1">
      <alignment horizontal="right" vertical="center" shrinkToFit="1"/>
    </xf>
    <xf numFmtId="0" fontId="29" fillId="0" borderId="43" xfId="4" applyFont="1" applyBorder="1" applyAlignment="1">
      <alignment horizontal="left" vertical="center" shrinkToFit="1"/>
    </xf>
    <xf numFmtId="0" fontId="20" fillId="4" borderId="274" xfId="2" applyFont="1" applyFill="1" applyBorder="1"/>
    <xf numFmtId="0" fontId="29" fillId="0" borderId="0" xfId="4" applyFont="1" applyAlignment="1">
      <alignment horizontal="left" vertical="center"/>
    </xf>
    <xf numFmtId="6" fontId="34" fillId="0" borderId="0" xfId="5" applyFont="1" applyBorder="1" applyAlignment="1" applyProtection="1">
      <alignment horizontal="right" vertical="center"/>
    </xf>
    <xf numFmtId="10" fontId="34" fillId="0" borderId="0" xfId="6" applyNumberFormat="1" applyFont="1" applyBorder="1" applyAlignment="1" applyProtection="1">
      <alignment horizontal="right" vertical="center"/>
    </xf>
    <xf numFmtId="6" fontId="34" fillId="0" borderId="0" xfId="5" applyFont="1" applyFill="1" applyBorder="1" applyAlignment="1" applyProtection="1">
      <alignment horizontal="right" vertical="center"/>
    </xf>
    <xf numFmtId="0" fontId="34" fillId="0" borderId="0" xfId="4" applyFont="1" applyAlignment="1">
      <alignment horizontal="left" vertical="center"/>
    </xf>
    <xf numFmtId="0" fontId="34" fillId="0" borderId="40" xfId="4" applyFont="1" applyBorder="1" applyAlignment="1">
      <alignment horizontal="left" vertical="center"/>
    </xf>
    <xf numFmtId="0" fontId="34" fillId="7" borderId="111" xfId="4" applyFont="1" applyFill="1" applyBorder="1" applyAlignment="1">
      <alignment horizontal="center" vertical="center" wrapText="1"/>
    </xf>
    <xf numFmtId="0" fontId="30" fillId="0" borderId="112" xfId="10" applyNumberFormat="1" applyFont="1" applyFill="1" applyBorder="1" applyAlignment="1" applyProtection="1">
      <alignment horizontal="center" vertical="center" shrinkToFit="1"/>
      <protection locked="0"/>
    </xf>
    <xf numFmtId="0" fontId="34" fillId="7" borderId="7" xfId="4" applyFont="1" applyFill="1" applyBorder="1" applyAlignment="1">
      <alignment horizontal="center" vertical="center" wrapText="1"/>
    </xf>
    <xf numFmtId="0" fontId="34" fillId="7" borderId="12" xfId="4" applyFont="1" applyFill="1" applyBorder="1" applyAlignment="1">
      <alignment horizontal="center" vertical="center" wrapText="1"/>
    </xf>
    <xf numFmtId="0" fontId="34" fillId="7" borderId="13" xfId="4" applyFont="1" applyFill="1" applyBorder="1" applyAlignment="1">
      <alignment horizontal="center" vertical="center" wrapText="1"/>
    </xf>
    <xf numFmtId="0" fontId="34" fillId="7" borderId="5" xfId="4" applyFont="1" applyFill="1" applyBorder="1" applyAlignment="1">
      <alignment horizontal="center" vertical="center" wrapText="1"/>
    </xf>
    <xf numFmtId="0" fontId="34" fillId="7" borderId="36" xfId="4" applyFont="1" applyFill="1" applyBorder="1" applyAlignment="1">
      <alignment horizontal="center" vertical="center" wrapText="1"/>
    </xf>
    <xf numFmtId="0" fontId="34" fillId="7" borderId="54" xfId="4" applyFont="1" applyFill="1" applyBorder="1" applyAlignment="1">
      <alignment horizontal="center" vertical="center" wrapText="1"/>
    </xf>
    <xf numFmtId="0" fontId="30" fillId="0" borderId="194" xfId="4" applyFont="1" applyBorder="1" applyAlignment="1" applyProtection="1">
      <alignment horizontal="center" vertical="center" wrapText="1" shrinkToFit="1"/>
      <protection locked="0"/>
    </xf>
    <xf numFmtId="0" fontId="30" fillId="0" borderId="36" xfId="4" applyFont="1" applyBorder="1" applyAlignment="1" applyProtection="1">
      <alignment horizontal="center" vertical="center" wrapText="1" shrinkToFit="1"/>
      <protection locked="0"/>
    </xf>
    <xf numFmtId="0" fontId="30" fillId="0" borderId="194" xfId="4" applyFont="1" applyBorder="1" applyAlignment="1">
      <alignment horizontal="center" vertical="center" wrapText="1" shrinkToFit="1"/>
    </xf>
    <xf numFmtId="0" fontId="30" fillId="0" borderId="36" xfId="4" applyFont="1" applyBorder="1" applyAlignment="1">
      <alignment horizontal="center" vertical="center" wrapText="1" shrinkToFit="1"/>
    </xf>
    <xf numFmtId="0" fontId="34" fillId="7" borderId="33" xfId="4" applyFont="1" applyFill="1" applyBorder="1" applyAlignment="1">
      <alignment horizontal="center" vertical="center" wrapText="1"/>
    </xf>
    <xf numFmtId="0" fontId="34" fillId="7" borderId="0" xfId="4" applyFont="1" applyFill="1" applyAlignment="1">
      <alignment horizontal="center" vertical="center" wrapText="1"/>
    </xf>
    <xf numFmtId="0" fontId="34" fillId="7" borderId="38" xfId="4" applyFont="1" applyFill="1" applyBorder="1" applyAlignment="1">
      <alignment horizontal="center" vertical="center" wrapText="1"/>
    </xf>
    <xf numFmtId="0" fontId="34" fillId="7" borderId="39" xfId="4" applyFont="1" applyFill="1" applyBorder="1" applyAlignment="1">
      <alignment horizontal="center" vertical="center" wrapText="1"/>
    </xf>
    <xf numFmtId="0" fontId="34" fillId="7" borderId="40" xfId="4" applyFont="1" applyFill="1" applyBorder="1" applyAlignment="1">
      <alignment horizontal="center" vertical="center" wrapText="1"/>
    </xf>
    <xf numFmtId="0" fontId="34" fillId="7" borderId="41" xfId="4" applyFont="1" applyFill="1" applyBorder="1" applyAlignment="1">
      <alignment horizontal="center" vertical="center" wrapText="1"/>
    </xf>
    <xf numFmtId="0" fontId="30" fillId="0" borderId="0" xfId="4" applyFont="1" applyAlignment="1" applyProtection="1">
      <alignment horizontal="center" vertical="center" shrinkToFit="1"/>
      <protection locked="0"/>
    </xf>
    <xf numFmtId="0" fontId="30" fillId="0" borderId="40" xfId="4" applyFont="1" applyBorder="1" applyAlignment="1" applyProtection="1">
      <alignment horizontal="center" vertical="center" shrinkToFit="1"/>
      <protection locked="0"/>
    </xf>
    <xf numFmtId="0" fontId="34" fillId="7" borderId="8" xfId="4" applyFont="1" applyFill="1" applyBorder="1" applyAlignment="1">
      <alignment horizontal="center" vertical="center" shrinkToFit="1"/>
    </xf>
    <xf numFmtId="0" fontId="34" fillId="7" borderId="0" xfId="4" applyFont="1" applyFill="1" applyAlignment="1">
      <alignment horizontal="center" vertical="center" shrinkToFit="1"/>
    </xf>
    <xf numFmtId="0" fontId="34" fillId="7" borderId="38" xfId="4" applyFont="1" applyFill="1" applyBorder="1" applyAlignment="1">
      <alignment horizontal="center" vertical="center" shrinkToFit="1"/>
    </xf>
    <xf numFmtId="0" fontId="34" fillId="7" borderId="42" xfId="4" applyFont="1" applyFill="1" applyBorder="1" applyAlignment="1">
      <alignment horizontal="center" vertical="center" shrinkToFit="1"/>
    </xf>
    <xf numFmtId="0" fontId="34" fillId="7" borderId="40" xfId="4" applyFont="1" applyFill="1" applyBorder="1" applyAlignment="1">
      <alignment horizontal="center" vertical="center" shrinkToFit="1"/>
    </xf>
    <xf numFmtId="0" fontId="34" fillId="7" borderId="41" xfId="4" applyFont="1" applyFill="1" applyBorder="1" applyAlignment="1">
      <alignment horizontal="center" vertical="center" shrinkToFit="1"/>
    </xf>
    <xf numFmtId="0" fontId="34" fillId="7" borderId="201" xfId="4" applyFont="1" applyFill="1" applyBorder="1" applyAlignment="1">
      <alignment horizontal="center" vertical="center" wrapText="1"/>
    </xf>
    <xf numFmtId="0" fontId="34" fillId="7" borderId="194" xfId="4" applyFont="1" applyFill="1" applyBorder="1" applyAlignment="1">
      <alignment horizontal="center" vertical="center" wrapText="1"/>
    </xf>
    <xf numFmtId="0" fontId="34" fillId="7" borderId="195" xfId="4" applyFont="1" applyFill="1" applyBorder="1" applyAlignment="1">
      <alignment horizontal="center" vertical="center" wrapText="1"/>
    </xf>
    <xf numFmtId="0" fontId="34" fillId="7" borderId="35" xfId="4" applyFont="1" applyFill="1" applyBorder="1" applyAlignment="1">
      <alignment horizontal="center" vertical="center" wrapText="1"/>
    </xf>
    <xf numFmtId="0" fontId="34" fillId="7" borderId="44" xfId="4" applyFont="1" applyFill="1" applyBorder="1" applyAlignment="1">
      <alignment horizontal="center" vertical="center" wrapText="1"/>
    </xf>
    <xf numFmtId="0" fontId="34" fillId="7" borderId="45" xfId="4" applyFont="1" applyFill="1" applyBorder="1" applyAlignment="1">
      <alignment horizontal="center" vertical="center" wrapText="1"/>
    </xf>
    <xf numFmtId="0" fontId="34" fillId="7" borderId="46" xfId="4" applyFont="1" applyFill="1" applyBorder="1" applyAlignment="1">
      <alignment horizontal="center" vertical="center" wrapText="1"/>
    </xf>
    <xf numFmtId="0" fontId="30" fillId="0" borderId="47" xfId="4" applyFont="1" applyBorder="1" applyAlignment="1" applyProtection="1">
      <alignment horizontal="left" vertical="center" shrinkToFit="1"/>
      <protection locked="0"/>
    </xf>
    <xf numFmtId="0" fontId="30" fillId="0" borderId="45" xfId="4" applyFont="1" applyBorder="1" applyAlignment="1" applyProtection="1">
      <alignment horizontal="left" vertical="center" shrinkToFit="1"/>
      <protection locked="0"/>
    </xf>
    <xf numFmtId="0" fontId="30" fillId="0" borderId="48" xfId="4" applyFont="1" applyBorder="1" applyAlignment="1" applyProtection="1">
      <alignment horizontal="left" vertical="center" shrinkToFit="1"/>
      <protection locked="0"/>
    </xf>
    <xf numFmtId="0" fontId="34" fillId="7" borderId="49" xfId="4" applyFont="1" applyFill="1" applyBorder="1" applyAlignment="1">
      <alignment horizontal="center" vertical="center" wrapText="1"/>
    </xf>
    <xf numFmtId="0" fontId="34" fillId="7" borderId="50" xfId="4" applyFont="1" applyFill="1" applyBorder="1" applyAlignment="1">
      <alignment horizontal="center" vertical="center" wrapText="1"/>
    </xf>
    <xf numFmtId="0" fontId="34" fillId="7" borderId="51" xfId="4" applyFont="1" applyFill="1" applyBorder="1" applyAlignment="1">
      <alignment horizontal="center" vertical="center" wrapText="1"/>
    </xf>
    <xf numFmtId="0" fontId="39" fillId="0" borderId="8" xfId="4" applyFont="1" applyBorder="1" applyAlignment="1" applyProtection="1">
      <alignment horizontal="left" vertical="center" shrinkToFit="1"/>
      <protection locked="0"/>
    </xf>
    <xf numFmtId="0" fontId="39" fillId="0" borderId="0" xfId="4" applyFont="1" applyAlignment="1" applyProtection="1">
      <alignment horizontal="left" vertical="center" shrinkToFit="1"/>
      <protection locked="0"/>
    </xf>
    <xf numFmtId="0" fontId="39" fillId="0" borderId="34" xfId="4" applyFont="1" applyBorder="1" applyAlignment="1" applyProtection="1">
      <alignment horizontal="left" vertical="center" shrinkToFit="1"/>
      <protection locked="0"/>
    </xf>
    <xf numFmtId="0" fontId="39" fillId="0" borderId="5" xfId="4" applyFont="1" applyBorder="1" applyAlignment="1" applyProtection="1">
      <alignment horizontal="left" vertical="center" shrinkToFit="1"/>
      <protection locked="0"/>
    </xf>
    <xf numFmtId="0" fontId="39" fillId="0" borderId="36" xfId="4" applyFont="1" applyBorder="1" applyAlignment="1" applyProtection="1">
      <alignment horizontal="left" vertical="center" shrinkToFit="1"/>
      <protection locked="0"/>
    </xf>
    <xf numFmtId="0" fontId="39" fillId="0" borderId="37" xfId="4" applyFont="1" applyBorder="1" applyAlignment="1" applyProtection="1">
      <alignment horizontal="left" vertical="center" shrinkToFit="1"/>
      <protection locked="0"/>
    </xf>
    <xf numFmtId="0" fontId="34" fillId="7" borderId="60" xfId="4" applyFont="1" applyFill="1" applyBorder="1" applyAlignment="1">
      <alignment horizontal="center" vertical="center" shrinkToFit="1"/>
    </xf>
    <xf numFmtId="0" fontId="34" fillId="7" borderId="56" xfId="4" applyFont="1" applyFill="1" applyBorder="1" applyAlignment="1">
      <alignment horizontal="center" vertical="center" shrinkToFit="1"/>
    </xf>
    <xf numFmtId="0" fontId="34" fillId="7" borderId="57" xfId="4" applyFont="1" applyFill="1" applyBorder="1" applyAlignment="1">
      <alignment horizontal="center" vertical="center" shrinkToFit="1"/>
    </xf>
    <xf numFmtId="0" fontId="34" fillId="7" borderId="58" xfId="4" applyFont="1" applyFill="1" applyBorder="1" applyAlignment="1">
      <alignment horizontal="center" vertical="center" shrinkToFit="1"/>
    </xf>
    <xf numFmtId="0" fontId="34" fillId="7" borderId="295" xfId="4" applyFont="1" applyFill="1" applyBorder="1" applyAlignment="1">
      <alignment horizontal="center" vertical="center" shrinkToFit="1"/>
    </xf>
    <xf numFmtId="0" fontId="39" fillId="0" borderId="52" xfId="4" applyFont="1" applyBorder="1" applyAlignment="1" applyProtection="1">
      <alignment horizontal="left" vertical="center" wrapText="1" shrinkToFit="1"/>
      <protection locked="0"/>
    </xf>
    <xf numFmtId="0" fontId="39" fillId="0" borderId="50" xfId="4" applyFont="1" applyBorder="1" applyAlignment="1" applyProtection="1">
      <alignment horizontal="left" vertical="center" wrapText="1" shrinkToFit="1"/>
      <protection locked="0"/>
    </xf>
    <xf numFmtId="0" fontId="39" fillId="0" borderId="51" xfId="4" applyFont="1" applyBorder="1" applyAlignment="1" applyProtection="1">
      <alignment horizontal="left" vertical="center" wrapText="1" shrinkToFit="1"/>
      <protection locked="0"/>
    </xf>
    <xf numFmtId="0" fontId="39" fillId="0" borderId="5" xfId="4" applyFont="1" applyBorder="1" applyAlignment="1" applyProtection="1">
      <alignment horizontal="left" vertical="center" wrapText="1" shrinkToFit="1"/>
      <protection locked="0"/>
    </xf>
    <xf numFmtId="0" fontId="39" fillId="0" borderId="36" xfId="4" applyFont="1" applyBorder="1" applyAlignment="1" applyProtection="1">
      <alignment horizontal="left" vertical="center" wrapText="1" shrinkToFit="1"/>
      <protection locked="0"/>
    </xf>
    <xf numFmtId="0" fontId="39" fillId="0" borderId="54" xfId="4" applyFont="1" applyBorder="1" applyAlignment="1" applyProtection="1">
      <alignment horizontal="left" vertical="center" wrapText="1" shrinkToFit="1"/>
      <protection locked="0"/>
    </xf>
    <xf numFmtId="0" fontId="123" fillId="0" borderId="8" xfId="4" quotePrefix="1" applyFont="1" applyBorder="1" applyAlignment="1" applyProtection="1">
      <alignment horizontal="left" vertical="center" shrinkToFit="1"/>
      <protection locked="0"/>
    </xf>
    <xf numFmtId="0" fontId="123" fillId="0" borderId="0" xfId="4" quotePrefix="1" applyFont="1" applyAlignment="1" applyProtection="1">
      <alignment horizontal="left" vertical="center" shrinkToFit="1"/>
      <protection locked="0"/>
    </xf>
    <xf numFmtId="0" fontId="123" fillId="0" borderId="34" xfId="4" quotePrefix="1" applyFont="1" applyBorder="1" applyAlignment="1" applyProtection="1">
      <alignment horizontal="left" vertical="center" shrinkToFit="1"/>
      <protection locked="0"/>
    </xf>
    <xf numFmtId="0" fontId="42" fillId="7" borderId="65" xfId="4" applyFont="1" applyFill="1" applyBorder="1" applyAlignment="1">
      <alignment horizontal="center" vertical="center" wrapText="1"/>
    </xf>
    <xf numFmtId="0" fontId="42" fillId="7" borderId="12" xfId="4" applyFont="1" applyFill="1" applyBorder="1" applyAlignment="1">
      <alignment horizontal="center" vertical="center" wrapText="1"/>
    </xf>
    <xf numFmtId="0" fontId="42" fillId="7" borderId="13" xfId="4" applyFont="1" applyFill="1" applyBorder="1" applyAlignment="1">
      <alignment horizontal="center" vertical="center" wrapText="1"/>
    </xf>
    <xf numFmtId="0" fontId="34" fillId="7" borderId="33" xfId="4" applyFont="1" applyFill="1" applyBorder="1" applyAlignment="1">
      <alignment horizontal="center" vertical="center"/>
    </xf>
    <xf numFmtId="0" fontId="34" fillId="7" borderId="0" xfId="4" applyFont="1" applyFill="1" applyAlignment="1">
      <alignment horizontal="center" vertical="center"/>
    </xf>
    <xf numFmtId="0" fontId="34" fillId="7" borderId="38" xfId="4" applyFont="1" applyFill="1" applyBorder="1" applyAlignment="1">
      <alignment horizontal="center" vertical="center"/>
    </xf>
    <xf numFmtId="0" fontId="34" fillId="7" borderId="39" xfId="4" applyFont="1" applyFill="1" applyBorder="1" applyAlignment="1">
      <alignment horizontal="center" vertical="center"/>
    </xf>
    <xf numFmtId="0" fontId="34" fillId="7" borderId="40" xfId="4" applyFont="1" applyFill="1" applyBorder="1" applyAlignment="1">
      <alignment horizontal="center" vertical="center"/>
    </xf>
    <xf numFmtId="0" fontId="34" fillId="7" borderId="41" xfId="4" applyFont="1" applyFill="1" applyBorder="1" applyAlignment="1">
      <alignment horizontal="center" vertical="center"/>
    </xf>
    <xf numFmtId="0" fontId="34" fillId="8" borderId="0" xfId="4" applyFont="1" applyFill="1" applyAlignment="1">
      <alignment horizontal="left" vertical="center" wrapText="1" shrinkToFit="1"/>
    </xf>
    <xf numFmtId="0" fontId="34" fillId="8" borderId="40" xfId="4" applyFont="1" applyFill="1" applyBorder="1" applyAlignment="1">
      <alignment horizontal="left" vertical="center" wrapText="1" shrinkToFit="1"/>
    </xf>
    <xf numFmtId="0" fontId="34" fillId="8" borderId="0" xfId="4" applyFont="1" applyFill="1" applyAlignment="1">
      <alignment horizontal="left" vertical="center" shrinkToFit="1"/>
    </xf>
    <xf numFmtId="0" fontId="34" fillId="8" borderId="40" xfId="4" applyFont="1" applyFill="1" applyBorder="1" applyAlignment="1">
      <alignment horizontal="left" vertical="center" shrinkToFit="1"/>
    </xf>
    <xf numFmtId="0" fontId="34" fillId="7" borderId="30" xfId="4" applyFont="1" applyFill="1" applyBorder="1" applyAlignment="1">
      <alignment horizontal="center" vertical="center" wrapText="1"/>
    </xf>
    <xf numFmtId="0" fontId="34" fillId="7" borderId="31" xfId="4" applyFont="1" applyFill="1" applyBorder="1" applyAlignment="1">
      <alignment horizontal="center" vertical="center" wrapText="1"/>
    </xf>
    <xf numFmtId="0" fontId="34" fillId="7" borderId="62" xfId="4" applyFont="1" applyFill="1" applyBorder="1" applyAlignment="1">
      <alignment horizontal="center" vertical="center" wrapText="1"/>
    </xf>
    <xf numFmtId="0" fontId="34" fillId="0" borderId="63" xfId="4" applyFont="1" applyBorder="1" applyAlignment="1">
      <alignment vertical="center" wrapText="1"/>
    </xf>
    <xf numFmtId="0" fontId="34" fillId="0" borderId="31" xfId="4" applyFont="1" applyBorder="1" applyAlignment="1">
      <alignment vertical="center" wrapText="1"/>
    </xf>
    <xf numFmtId="0" fontId="34" fillId="0" borderId="8" xfId="4" applyFont="1" applyBorder="1" applyAlignment="1">
      <alignment vertical="center" wrapText="1"/>
    </xf>
    <xf numFmtId="0" fontId="34" fillId="0" borderId="0" xfId="4" applyFont="1" applyAlignment="1">
      <alignment vertical="center" wrapText="1"/>
    </xf>
    <xf numFmtId="0" fontId="34" fillId="0" borderId="42" xfId="4" applyFont="1" applyBorder="1" applyAlignment="1">
      <alignment vertical="center" wrapText="1"/>
    </xf>
    <xf numFmtId="0" fontId="34" fillId="0" borderId="40" xfId="4" applyFont="1" applyBorder="1" applyAlignment="1">
      <alignment vertical="center" wrapText="1"/>
    </xf>
    <xf numFmtId="0" fontId="34" fillId="0" borderId="31" xfId="4" applyFont="1" applyBorder="1" applyAlignment="1">
      <alignment horizontal="center" vertical="top"/>
    </xf>
    <xf numFmtId="0" fontId="34" fillId="0" borderId="0" xfId="4" applyFont="1" applyAlignment="1">
      <alignment horizontal="center" vertical="top"/>
    </xf>
    <xf numFmtId="0" fontId="34" fillId="0" borderId="40" xfId="4" applyFont="1" applyBorder="1" applyAlignment="1">
      <alignment horizontal="center" vertical="top"/>
    </xf>
    <xf numFmtId="0" fontId="33" fillId="0" borderId="25" xfId="4" applyFont="1" applyBorder="1" applyAlignment="1">
      <alignment horizontal="center" vertical="center"/>
    </xf>
    <xf numFmtId="0" fontId="33" fillId="0" borderId="26" xfId="4" applyFont="1" applyBorder="1" applyAlignment="1">
      <alignment horizontal="center" vertical="center"/>
    </xf>
    <xf numFmtId="0" fontId="33" fillId="0" borderId="27" xfId="4" applyFont="1" applyBorder="1" applyAlignment="1">
      <alignment horizontal="center" vertical="center"/>
    </xf>
    <xf numFmtId="0" fontId="33" fillId="0" borderId="28" xfId="4" applyFont="1" applyBorder="1" applyAlignment="1">
      <alignment horizontal="center" vertical="center"/>
    </xf>
    <xf numFmtId="0" fontId="33" fillId="0" borderId="24" xfId="4" applyFont="1" applyBorder="1" applyAlignment="1">
      <alignment horizontal="center" vertical="center"/>
    </xf>
    <xf numFmtId="0" fontId="33" fillId="0" borderId="29" xfId="4" applyFont="1" applyBorder="1" applyAlignment="1">
      <alignment horizontal="center" vertical="center"/>
    </xf>
    <xf numFmtId="0" fontId="34" fillId="7" borderId="30" xfId="4" applyFont="1" applyFill="1" applyBorder="1" applyAlignment="1">
      <alignment horizontal="center" vertical="center"/>
    </xf>
    <xf numFmtId="0" fontId="34" fillId="7" borderId="31" xfId="4" applyFont="1" applyFill="1" applyBorder="1" applyAlignment="1">
      <alignment horizontal="center" vertical="center"/>
    </xf>
    <xf numFmtId="0" fontId="34" fillId="7" borderId="62" xfId="4" applyFont="1" applyFill="1" applyBorder="1" applyAlignment="1">
      <alignment horizontal="center" vertical="center"/>
    </xf>
    <xf numFmtId="0" fontId="34" fillId="0" borderId="8" xfId="4" applyFont="1" applyBorder="1" applyAlignment="1">
      <alignment horizontal="left" vertical="top" wrapText="1"/>
    </xf>
    <xf numFmtId="0" fontId="34" fillId="0" borderId="0" xfId="4" applyFont="1" applyAlignment="1">
      <alignment horizontal="left" vertical="top" wrapText="1"/>
    </xf>
    <xf numFmtId="0" fontId="34" fillId="0" borderId="34" xfId="4" applyFont="1" applyBorder="1" applyAlignment="1">
      <alignment horizontal="left" vertical="top" wrapText="1"/>
    </xf>
    <xf numFmtId="0" fontId="34" fillId="8" borderId="8" xfId="4" applyFont="1" applyFill="1" applyBorder="1" applyAlignment="1">
      <alignment horizontal="left" vertical="top" wrapText="1" shrinkToFit="1"/>
    </xf>
    <xf numFmtId="0" fontId="34" fillId="8" borderId="0" xfId="4" applyFont="1" applyFill="1" applyAlignment="1">
      <alignment horizontal="left" vertical="top" wrapText="1" shrinkToFit="1"/>
    </xf>
    <xf numFmtId="0" fontId="69" fillId="0" borderId="26" xfId="4" applyFont="1" applyBorder="1" applyAlignment="1">
      <alignment horizontal="left" wrapText="1"/>
    </xf>
    <xf numFmtId="0" fontId="69" fillId="0" borderId="0" xfId="4" applyFont="1" applyAlignment="1">
      <alignment horizontal="left" wrapText="1"/>
    </xf>
    <xf numFmtId="0" fontId="28" fillId="0" borderId="0" xfId="4" applyFont="1" applyAlignment="1">
      <alignment horizontal="left" vertical="top" wrapText="1"/>
    </xf>
    <xf numFmtId="0" fontId="28" fillId="0" borderId="0" xfId="4" applyFont="1" applyAlignment="1">
      <alignment horizontal="left" vertical="center" wrapText="1"/>
    </xf>
    <xf numFmtId="0" fontId="34" fillId="7" borderId="194" xfId="4" applyFont="1" applyFill="1" applyBorder="1" applyAlignment="1">
      <alignment horizontal="center" vertical="center"/>
    </xf>
    <xf numFmtId="0" fontId="34" fillId="7" borderId="195" xfId="4" applyFont="1" applyFill="1" applyBorder="1" applyAlignment="1">
      <alignment horizontal="center" vertical="center"/>
    </xf>
    <xf numFmtId="0" fontId="34" fillId="7" borderId="35" xfId="4" applyFont="1" applyFill="1" applyBorder="1" applyAlignment="1">
      <alignment horizontal="center" vertical="center"/>
    </xf>
    <xf numFmtId="0" fontId="34" fillId="7" borderId="36" xfId="4" applyFont="1" applyFill="1" applyBorder="1" applyAlignment="1">
      <alignment horizontal="center" vertical="center"/>
    </xf>
    <xf numFmtId="0" fontId="34" fillId="7" borderId="54" xfId="4" applyFont="1" applyFill="1" applyBorder="1" applyAlignment="1">
      <alignment horizontal="center" vertical="center"/>
    </xf>
    <xf numFmtId="0" fontId="34" fillId="7" borderId="55" xfId="4" applyFont="1" applyFill="1" applyBorder="1" applyAlignment="1">
      <alignment horizontal="center" vertical="center"/>
    </xf>
    <xf numFmtId="0" fontId="34" fillId="7" borderId="56" xfId="4" applyFont="1" applyFill="1" applyBorder="1" applyAlignment="1">
      <alignment horizontal="center" vertical="center"/>
    </xf>
    <xf numFmtId="0" fontId="34" fillId="7" borderId="57" xfId="4" applyFont="1" applyFill="1" applyBorder="1" applyAlignment="1">
      <alignment horizontal="center" vertical="center"/>
    </xf>
    <xf numFmtId="0" fontId="30" fillId="0" borderId="56" xfId="4" applyFont="1" applyBorder="1" applyAlignment="1">
      <alignment horizontal="center" vertical="center" shrinkToFit="1"/>
    </xf>
    <xf numFmtId="0" fontId="30" fillId="0" borderId="213" xfId="4" applyFont="1" applyBorder="1" applyAlignment="1">
      <alignment horizontal="center" vertical="center" shrinkToFit="1"/>
    </xf>
    <xf numFmtId="0" fontId="34" fillId="0" borderId="31" xfId="4" applyFont="1" applyBorder="1" applyAlignment="1">
      <alignment horizontal="left" vertical="top"/>
    </xf>
    <xf numFmtId="0" fontId="34" fillId="0" borderId="32" xfId="4" applyFont="1" applyBorder="1" applyAlignment="1">
      <alignment horizontal="left" vertical="top"/>
    </xf>
    <xf numFmtId="0" fontId="34" fillId="0" borderId="0" xfId="4" applyFont="1" applyAlignment="1">
      <alignment horizontal="left" vertical="top"/>
    </xf>
    <xf numFmtId="0" fontId="34" fillId="0" borderId="34" xfId="4" applyFont="1" applyBorder="1" applyAlignment="1">
      <alignment horizontal="left" vertical="top"/>
    </xf>
    <xf numFmtId="0" fontId="34" fillId="0" borderId="40" xfId="4" applyFont="1" applyBorder="1" applyAlignment="1">
      <alignment horizontal="left" vertical="top"/>
    </xf>
    <xf numFmtId="0" fontId="34" fillId="0" borderId="43" xfId="4" applyFont="1" applyBorder="1" applyAlignment="1">
      <alignment horizontal="left" vertical="top"/>
    </xf>
    <xf numFmtId="0" fontId="144" fillId="0" borderId="31" xfId="4" applyFont="1" applyBorder="1" applyAlignment="1">
      <alignment horizontal="center" vertical="center"/>
    </xf>
    <xf numFmtId="0" fontId="144" fillId="0" borderId="0" xfId="4" applyFont="1" applyAlignment="1">
      <alignment horizontal="center" vertical="center"/>
    </xf>
    <xf numFmtId="0" fontId="34" fillId="7" borderId="44" xfId="4" applyFont="1" applyFill="1" applyBorder="1" applyAlignment="1">
      <alignment horizontal="center" vertical="center"/>
    </xf>
    <xf numFmtId="0" fontId="34" fillId="7" borderId="45" xfId="4" applyFont="1" applyFill="1" applyBorder="1" applyAlignment="1">
      <alignment horizontal="center" vertical="center"/>
    </xf>
    <xf numFmtId="0" fontId="34" fillId="7" borderId="46" xfId="4" applyFont="1" applyFill="1" applyBorder="1" applyAlignment="1">
      <alignment horizontal="center" vertical="center"/>
    </xf>
    <xf numFmtId="0" fontId="30" fillId="7" borderId="49" xfId="4" applyFont="1" applyFill="1" applyBorder="1" applyAlignment="1">
      <alignment horizontal="center" vertical="center" wrapText="1"/>
    </xf>
    <xf numFmtId="0" fontId="30" fillId="7" borderId="50" xfId="4" applyFont="1" applyFill="1" applyBorder="1" applyAlignment="1">
      <alignment horizontal="center" vertical="center" wrapText="1"/>
    </xf>
    <xf numFmtId="0" fontId="30" fillId="7" borderId="51" xfId="4" applyFont="1" applyFill="1" applyBorder="1" applyAlignment="1">
      <alignment horizontal="center" vertical="center" wrapText="1"/>
    </xf>
    <xf numFmtId="0" fontId="30" fillId="7" borderId="33" xfId="4" applyFont="1" applyFill="1" applyBorder="1" applyAlignment="1">
      <alignment horizontal="center" vertical="center" wrapText="1"/>
    </xf>
    <xf numFmtId="0" fontId="30" fillId="7" borderId="0" xfId="4" applyFont="1" applyFill="1" applyAlignment="1">
      <alignment horizontal="center" vertical="center" wrapText="1"/>
    </xf>
    <xf numFmtId="0" fontId="30" fillId="7" borderId="38" xfId="4" applyFont="1" applyFill="1" applyBorder="1" applyAlignment="1">
      <alignment horizontal="center" vertical="center" wrapText="1"/>
    </xf>
    <xf numFmtId="0" fontId="30" fillId="7" borderId="35" xfId="4" applyFont="1" applyFill="1" applyBorder="1" applyAlignment="1">
      <alignment horizontal="center" vertical="center" wrapText="1"/>
    </xf>
    <xf numFmtId="0" fontId="30" fillId="7" borderId="36" xfId="4" applyFont="1" applyFill="1" applyBorder="1" applyAlignment="1">
      <alignment horizontal="center" vertical="center" wrapText="1"/>
    </xf>
    <xf numFmtId="0" fontId="30" fillId="7" borderId="54" xfId="4" applyFont="1" applyFill="1" applyBorder="1" applyAlignment="1">
      <alignment horizontal="center" vertical="center" wrapText="1"/>
    </xf>
    <xf numFmtId="0" fontId="39" fillId="0" borderId="52" xfId="4" applyFont="1" applyBorder="1" applyAlignment="1" applyProtection="1">
      <alignment horizontal="left" vertical="center" shrinkToFit="1"/>
      <protection locked="0"/>
    </xf>
    <xf numFmtId="0" fontId="39" fillId="0" borderId="50" xfId="4" applyFont="1" applyBorder="1" applyAlignment="1" applyProtection="1">
      <alignment horizontal="left" vertical="center" shrinkToFit="1"/>
      <protection locked="0"/>
    </xf>
    <xf numFmtId="0" fontId="39" fillId="0" borderId="53" xfId="4" applyFont="1" applyBorder="1" applyAlignment="1" applyProtection="1">
      <alignment horizontal="left" vertical="center" shrinkToFit="1"/>
      <protection locked="0"/>
    </xf>
    <xf numFmtId="0" fontId="123" fillId="0" borderId="193" xfId="4" applyFont="1" applyBorder="1" applyAlignment="1" applyProtection="1">
      <alignment horizontal="left" vertical="center" shrinkToFit="1"/>
      <protection locked="0"/>
    </xf>
    <xf numFmtId="0" fontId="123" fillId="0" borderId="194" xfId="4" applyFont="1" applyBorder="1" applyAlignment="1" applyProtection="1">
      <alignment horizontal="left" vertical="center" shrinkToFit="1"/>
      <protection locked="0"/>
    </xf>
    <xf numFmtId="0" fontId="123" fillId="0" borderId="8" xfId="4" applyFont="1" applyBorder="1" applyAlignment="1" applyProtection="1">
      <alignment horizontal="left" vertical="center" shrinkToFit="1"/>
      <protection locked="0"/>
    </xf>
    <xf numFmtId="0" fontId="123" fillId="0" borderId="0" xfId="4" applyFont="1" applyAlignment="1" applyProtection="1">
      <alignment horizontal="left" vertical="center" shrinkToFit="1"/>
      <protection locked="0"/>
    </xf>
    <xf numFmtId="0" fontId="123" fillId="0" borderId="5" xfId="4" applyFont="1" applyBorder="1" applyAlignment="1" applyProtection="1">
      <alignment horizontal="left" vertical="center" shrinkToFit="1"/>
      <protection locked="0"/>
    </xf>
    <xf numFmtId="0" fontId="123" fillId="0" borderId="36" xfId="4" applyFont="1" applyBorder="1" applyAlignment="1" applyProtection="1">
      <alignment horizontal="left" vertical="center" shrinkToFit="1"/>
      <protection locked="0"/>
    </xf>
    <xf numFmtId="0" fontId="34" fillId="7" borderId="193" xfId="4" applyFont="1" applyFill="1" applyBorder="1" applyAlignment="1">
      <alignment horizontal="center" vertical="center" wrapText="1"/>
    </xf>
    <xf numFmtId="0" fontId="34" fillId="7" borderId="8" xfId="4" applyFont="1" applyFill="1" applyBorder="1" applyAlignment="1">
      <alignment horizontal="center" vertical="center"/>
    </xf>
    <xf numFmtId="0" fontId="34" fillId="7" borderId="5" xfId="4" applyFont="1" applyFill="1" applyBorder="1" applyAlignment="1">
      <alignment horizontal="center" vertical="center"/>
    </xf>
    <xf numFmtId="0" fontId="39" fillId="0" borderId="193" xfId="4" applyFont="1" applyBorder="1" applyAlignment="1" applyProtection="1">
      <alignment horizontal="left" vertical="center" shrinkToFit="1"/>
      <protection locked="0"/>
    </xf>
    <xf numFmtId="0" fontId="39" fillId="0" borderId="194" xfId="4" applyFont="1" applyBorder="1" applyAlignment="1" applyProtection="1">
      <alignment horizontal="left" vertical="center" shrinkToFit="1"/>
      <protection locked="0"/>
    </xf>
    <xf numFmtId="0" fontId="39" fillId="0" borderId="196" xfId="4" applyFont="1" applyBorder="1" applyAlignment="1" applyProtection="1">
      <alignment horizontal="left" vertical="center" shrinkToFit="1"/>
      <protection locked="0"/>
    </xf>
    <xf numFmtId="49" fontId="30" fillId="0" borderId="56" xfId="4" applyNumberFormat="1" applyFont="1" applyBorder="1" applyAlignment="1" applyProtection="1">
      <alignment horizontal="left" vertical="center" shrinkToFit="1"/>
      <protection locked="0"/>
    </xf>
    <xf numFmtId="49" fontId="30" fillId="0" borderId="213" xfId="4" applyNumberFormat="1" applyFont="1" applyBorder="1" applyAlignment="1" applyProtection="1">
      <alignment horizontal="left" vertical="center" shrinkToFit="1"/>
      <protection locked="0"/>
    </xf>
    <xf numFmtId="49" fontId="30" fillId="0" borderId="56" xfId="4" applyNumberFormat="1" applyFont="1" applyBorder="1" applyAlignment="1" applyProtection="1">
      <alignment horizontal="left" vertical="center" indent="1" shrinkToFit="1"/>
      <protection locked="0"/>
    </xf>
    <xf numFmtId="49" fontId="30" fillId="0" borderId="64" xfId="4" applyNumberFormat="1" applyFont="1" applyBorder="1" applyAlignment="1" applyProtection="1">
      <alignment horizontal="left" vertical="center" indent="1" shrinkToFit="1"/>
      <protection locked="0"/>
    </xf>
    <xf numFmtId="49" fontId="39" fillId="0" borderId="209" xfId="4" applyNumberFormat="1" applyFont="1" applyBorder="1" applyAlignment="1" applyProtection="1">
      <alignment horizontal="left" shrinkToFit="1"/>
      <protection locked="0"/>
    </xf>
    <xf numFmtId="49" fontId="39" fillId="0" borderId="94" xfId="4" applyNumberFormat="1" applyFont="1" applyBorder="1" applyAlignment="1" applyProtection="1">
      <alignment horizontal="left" shrinkToFit="1"/>
      <protection locked="0"/>
    </xf>
    <xf numFmtId="0" fontId="39" fillId="0" borderId="209" xfId="4" applyFont="1" applyBorder="1" applyAlignment="1" applyProtection="1">
      <alignment horizontal="left" shrinkToFit="1"/>
      <protection locked="0"/>
    </xf>
    <xf numFmtId="0" fontId="39" fillId="0" borderId="210" xfId="4" applyFont="1" applyBorder="1" applyAlignment="1" applyProtection="1">
      <alignment horizontal="left" shrinkToFit="1"/>
      <protection locked="0"/>
    </xf>
    <xf numFmtId="0" fontId="39" fillId="0" borderId="94" xfId="4" applyFont="1" applyBorder="1" applyAlignment="1" applyProtection="1">
      <alignment horizontal="left" shrinkToFit="1"/>
      <protection locked="0"/>
    </xf>
    <xf numFmtId="0" fontId="39" fillId="0" borderId="206" xfId="4" applyFont="1" applyBorder="1" applyAlignment="1" applyProtection="1">
      <alignment horizontal="left" shrinkToFit="1"/>
      <protection locked="0"/>
    </xf>
    <xf numFmtId="0" fontId="34" fillId="7" borderId="4" xfId="4" applyFont="1" applyFill="1" applyBorder="1" applyAlignment="1">
      <alignment horizontal="center" vertical="center"/>
    </xf>
    <xf numFmtId="0" fontId="34" fillId="7" borderId="1" xfId="4" applyFont="1" applyFill="1" applyBorder="1" applyAlignment="1">
      <alignment horizontal="center" vertical="center"/>
    </xf>
    <xf numFmtId="0" fontId="34" fillId="7" borderId="2" xfId="4" applyFont="1" applyFill="1" applyBorder="1" applyAlignment="1">
      <alignment horizontal="center" vertical="center"/>
    </xf>
    <xf numFmtId="49" fontId="30" fillId="0" borderId="192" xfId="4" applyNumberFormat="1" applyFont="1" applyBorder="1" applyAlignment="1" applyProtection="1">
      <alignment horizontal="center" vertical="center" shrinkToFit="1"/>
      <protection locked="0"/>
    </xf>
    <xf numFmtId="49" fontId="30" fillId="0" borderId="200" xfId="4" applyNumberFormat="1" applyFont="1" applyBorder="1" applyAlignment="1" applyProtection="1">
      <alignment horizontal="center" vertical="center" shrinkToFit="1"/>
      <protection locked="0"/>
    </xf>
    <xf numFmtId="49" fontId="30" fillId="0" borderId="2" xfId="4" applyNumberFormat="1" applyFont="1" applyBorder="1" applyAlignment="1" applyProtection="1">
      <alignment horizontal="center" vertical="center" shrinkToFit="1"/>
      <protection locked="0"/>
    </xf>
    <xf numFmtId="0" fontId="34" fillId="7" borderId="3" xfId="4" applyFont="1" applyFill="1" applyBorder="1" applyAlignment="1">
      <alignment horizontal="center" vertical="center" shrinkToFit="1"/>
    </xf>
    <xf numFmtId="0" fontId="34" fillId="7" borderId="1" xfId="4" applyFont="1" applyFill="1" applyBorder="1" applyAlignment="1">
      <alignment horizontal="center" vertical="center" shrinkToFit="1"/>
    </xf>
    <xf numFmtId="0" fontId="34" fillId="7" borderId="2" xfId="4" applyFont="1" applyFill="1" applyBorder="1" applyAlignment="1">
      <alignment horizontal="center" vertical="center" shrinkToFit="1"/>
    </xf>
    <xf numFmtId="49" fontId="30" fillId="0" borderId="202" xfId="4" applyNumberFormat="1" applyFont="1" applyBorder="1" applyAlignment="1" applyProtection="1">
      <alignment horizontal="center" vertical="center" shrinkToFit="1"/>
      <protection locked="0"/>
    </xf>
    <xf numFmtId="0" fontId="30" fillId="7" borderId="50" xfId="4" applyFont="1" applyFill="1" applyBorder="1" applyAlignment="1">
      <alignment horizontal="center" vertical="center"/>
    </xf>
    <xf numFmtId="0" fontId="30" fillId="7" borderId="51" xfId="4" applyFont="1" applyFill="1" applyBorder="1" applyAlignment="1">
      <alignment horizontal="center" vertical="center"/>
    </xf>
    <xf numFmtId="0" fontId="30" fillId="7" borderId="33" xfId="4" applyFont="1" applyFill="1" applyBorder="1" applyAlignment="1">
      <alignment horizontal="center" vertical="center"/>
    </xf>
    <xf numFmtId="0" fontId="30" fillId="7" borderId="0" xfId="4" applyFont="1" applyFill="1" applyAlignment="1">
      <alignment horizontal="center" vertical="center"/>
    </xf>
    <xf numFmtId="0" fontId="30" fillId="7" borderId="38" xfId="4" applyFont="1" applyFill="1" applyBorder="1" applyAlignment="1">
      <alignment horizontal="center" vertical="center"/>
    </xf>
    <xf numFmtId="0" fontId="30" fillId="7" borderId="35" xfId="4" applyFont="1" applyFill="1" applyBorder="1" applyAlignment="1">
      <alignment horizontal="center" vertical="center"/>
    </xf>
    <xf numFmtId="0" fontId="30" fillId="7" borderId="36" xfId="4" applyFont="1" applyFill="1" applyBorder="1" applyAlignment="1">
      <alignment horizontal="center" vertical="center"/>
    </xf>
    <xf numFmtId="0" fontId="30" fillId="7" borderId="54" xfId="4" applyFont="1" applyFill="1" applyBorder="1" applyAlignment="1">
      <alignment horizontal="center" vertical="center"/>
    </xf>
    <xf numFmtId="49" fontId="30" fillId="0" borderId="243" xfId="4" applyNumberFormat="1" applyFont="1" applyBorder="1" applyAlignment="1" applyProtection="1">
      <alignment horizontal="center" vertical="center" shrinkToFit="1"/>
      <protection locked="0"/>
    </xf>
    <xf numFmtId="49" fontId="30" fillId="0" borderId="243" xfId="4" quotePrefix="1" applyNumberFormat="1" applyFont="1" applyBorder="1" applyAlignment="1" applyProtection="1">
      <alignment horizontal="center" vertical="center" shrinkToFit="1"/>
      <protection locked="0"/>
    </xf>
    <xf numFmtId="0" fontId="39" fillId="0" borderId="52" xfId="4" applyFont="1" applyBorder="1" applyAlignment="1" applyProtection="1">
      <alignment horizontal="center" shrinkToFit="1"/>
      <protection locked="0"/>
    </xf>
    <xf numFmtId="0" fontId="39" fillId="0" borderId="50" xfId="4" applyFont="1" applyBorder="1" applyAlignment="1" applyProtection="1">
      <alignment horizontal="center" shrinkToFit="1"/>
      <protection locked="0"/>
    </xf>
    <xf numFmtId="0" fontId="39" fillId="0" borderId="5" xfId="4" applyFont="1" applyBorder="1" applyAlignment="1" applyProtection="1">
      <alignment horizontal="center" shrinkToFit="1"/>
      <protection locked="0"/>
    </xf>
    <xf numFmtId="0" fontId="39" fillId="0" borderId="36" xfId="4" applyFont="1" applyBorder="1" applyAlignment="1" applyProtection="1">
      <alignment horizontal="center" shrinkToFit="1"/>
      <protection locked="0"/>
    </xf>
    <xf numFmtId="38" fontId="30" fillId="0" borderId="1" xfId="11" applyFont="1" applyFill="1" applyBorder="1" applyAlignment="1" applyProtection="1">
      <alignment horizontal="center" vertical="center" shrinkToFit="1"/>
      <protection locked="0"/>
    </xf>
    <xf numFmtId="0" fontId="30" fillId="0" borderId="1" xfId="4" applyFont="1" applyBorder="1" applyAlignment="1">
      <alignment horizontal="left" vertical="center" shrinkToFit="1"/>
    </xf>
    <xf numFmtId="0" fontId="30" fillId="0" borderId="2" xfId="4" applyFont="1" applyBorder="1" applyAlignment="1">
      <alignment horizontal="left" vertical="center" shrinkToFit="1"/>
    </xf>
    <xf numFmtId="0" fontId="30" fillId="0" borderId="59" xfId="4" applyFont="1" applyBorder="1" applyAlignment="1">
      <alignment horizontal="left" vertical="center" shrinkToFit="1"/>
    </xf>
    <xf numFmtId="0" fontId="30" fillId="0" borderId="3" xfId="4" applyFont="1" applyBorder="1" applyAlignment="1">
      <alignment horizontal="center" vertical="center" shrinkToFit="1"/>
    </xf>
    <xf numFmtId="0" fontId="30" fillId="0" borderId="1" xfId="4" applyFont="1" applyBorder="1" applyAlignment="1">
      <alignment horizontal="center" vertical="center" shrinkToFit="1"/>
    </xf>
    <xf numFmtId="0" fontId="30" fillId="0" borderId="1" xfId="4" applyFont="1" applyBorder="1" applyAlignment="1" applyProtection="1">
      <alignment horizontal="center" vertical="center" shrinkToFit="1"/>
      <protection locked="0"/>
    </xf>
    <xf numFmtId="0" fontId="30" fillId="0" borderId="1" xfId="0" applyFont="1" applyBorder="1" applyAlignment="1" applyProtection="1">
      <alignment horizontal="center" vertical="center" shrinkToFit="1"/>
      <protection locked="0"/>
    </xf>
    <xf numFmtId="0" fontId="34" fillId="7" borderId="65" xfId="4" applyFont="1" applyFill="1" applyBorder="1" applyAlignment="1">
      <alignment horizontal="center" vertical="center" wrapText="1"/>
    </xf>
    <xf numFmtId="0" fontId="34" fillId="7" borderId="12" xfId="4" applyFont="1" applyFill="1" applyBorder="1" applyAlignment="1">
      <alignment horizontal="center" vertical="center"/>
    </xf>
    <xf numFmtId="0" fontId="34" fillId="7" borderId="13" xfId="4" applyFont="1" applyFill="1" applyBorder="1" applyAlignment="1">
      <alignment horizontal="center" vertical="center"/>
    </xf>
    <xf numFmtId="0" fontId="39" fillId="0" borderId="7" xfId="4" applyFont="1" applyBorder="1" applyAlignment="1" applyProtection="1">
      <alignment horizontal="left" vertical="center" wrapText="1" shrinkToFit="1"/>
      <protection locked="0"/>
    </xf>
    <xf numFmtId="0" fontId="39" fillId="0" borderId="12" xfId="4" applyFont="1" applyBorder="1" applyAlignment="1" applyProtection="1">
      <alignment horizontal="left" vertical="center" shrinkToFit="1"/>
      <protection locked="0"/>
    </xf>
    <xf numFmtId="0" fontId="39" fillId="0" borderId="61" xfId="4" applyFont="1" applyBorder="1" applyAlignment="1" applyProtection="1">
      <alignment horizontal="left" vertical="center" shrinkToFit="1"/>
      <protection locked="0"/>
    </xf>
    <xf numFmtId="0" fontId="34" fillId="7" borderId="65" xfId="4" applyFont="1" applyFill="1" applyBorder="1" applyAlignment="1">
      <alignment horizontal="center" vertical="center"/>
    </xf>
    <xf numFmtId="0" fontId="30" fillId="0" borderId="7" xfId="10" applyNumberFormat="1" applyFont="1" applyFill="1" applyBorder="1" applyAlignment="1" applyProtection="1">
      <alignment horizontal="left" vertical="center" shrinkToFit="1"/>
      <protection locked="0"/>
    </xf>
    <xf numFmtId="0" fontId="30" fillId="0" borderId="12" xfId="4" applyFont="1" applyBorder="1" applyAlignment="1" applyProtection="1">
      <alignment horizontal="left" vertical="center" shrinkToFit="1"/>
      <protection locked="0"/>
    </xf>
    <xf numFmtId="0" fontId="30" fillId="0" borderId="61" xfId="4" applyFont="1" applyBorder="1" applyAlignment="1" applyProtection="1">
      <alignment horizontal="left" vertical="center" shrinkToFit="1"/>
      <protection locked="0"/>
    </xf>
    <xf numFmtId="0" fontId="34" fillId="7" borderId="107" xfId="4" applyFont="1" applyFill="1" applyBorder="1" applyAlignment="1">
      <alignment horizontal="center" vertical="center"/>
    </xf>
    <xf numFmtId="0" fontId="34" fillId="7" borderId="67" xfId="4" applyFont="1" applyFill="1" applyBorder="1" applyAlignment="1">
      <alignment horizontal="center" vertical="center"/>
    </xf>
    <xf numFmtId="0" fontId="34" fillId="7" borderId="68" xfId="4" applyFont="1" applyFill="1" applyBorder="1" applyAlignment="1">
      <alignment horizontal="center" vertical="center"/>
    </xf>
    <xf numFmtId="38" fontId="30" fillId="0" borderId="66" xfId="11" applyFont="1" applyFill="1" applyBorder="1" applyAlignment="1" applyProtection="1">
      <alignment horizontal="center" vertical="center" shrinkToFit="1"/>
      <protection locked="0"/>
    </xf>
    <xf numFmtId="38" fontId="30" fillId="0" borderId="67" xfId="11" applyFont="1" applyFill="1" applyBorder="1" applyAlignment="1" applyProtection="1">
      <alignment horizontal="center" vertical="center" shrinkToFit="1"/>
      <protection locked="0"/>
    </xf>
    <xf numFmtId="0" fontId="30" fillId="0" borderId="67" xfId="4" applyFont="1" applyBorder="1" applyAlignment="1">
      <alignment horizontal="left" vertical="center" shrinkToFit="1"/>
    </xf>
    <xf numFmtId="0" fontId="30" fillId="0" borderId="68" xfId="4" applyFont="1" applyBorder="1" applyAlignment="1">
      <alignment horizontal="left" vertical="center" shrinkToFit="1"/>
    </xf>
    <xf numFmtId="0" fontId="34" fillId="7" borderId="66" xfId="4" applyFont="1" applyFill="1" applyBorder="1" applyAlignment="1">
      <alignment horizontal="center" vertical="center"/>
    </xf>
    <xf numFmtId="49" fontId="30" fillId="0" borderId="66" xfId="4" applyNumberFormat="1" applyFont="1" applyBorder="1" applyAlignment="1" applyProtection="1">
      <alignment horizontal="center" vertical="center" shrinkToFit="1"/>
      <protection locked="0"/>
    </xf>
    <xf numFmtId="49" fontId="30" fillId="0" borderId="67" xfId="4" applyNumberFormat="1" applyFont="1" applyBorder="1" applyAlignment="1" applyProtection="1">
      <alignment horizontal="center" vertical="center" shrinkToFit="1"/>
      <protection locked="0"/>
    </xf>
    <xf numFmtId="49" fontId="30" fillId="0" borderId="69" xfId="4" applyNumberFormat="1" applyFont="1" applyBorder="1" applyAlignment="1" applyProtection="1">
      <alignment horizontal="center" vertical="center" shrinkToFit="1"/>
      <protection locked="0"/>
    </xf>
    <xf numFmtId="0" fontId="68" fillId="0" borderId="31" xfId="4" applyFont="1" applyBorder="1" applyAlignment="1">
      <alignment horizontal="right" vertical="center"/>
    </xf>
    <xf numFmtId="0" fontId="30" fillId="0" borderId="233" xfId="4" applyFont="1" applyBorder="1" applyAlignment="1" applyProtection="1">
      <alignment horizontal="center" vertical="center" shrinkToFit="1"/>
      <protection locked="0"/>
    </xf>
    <xf numFmtId="0" fontId="30" fillId="0" borderId="234" xfId="4" applyFont="1" applyBorder="1" applyAlignment="1" applyProtection="1">
      <alignment horizontal="center" vertical="center" shrinkToFit="1"/>
      <protection locked="0"/>
    </xf>
    <xf numFmtId="0" fontId="30" fillId="0" borderId="235" xfId="4" applyFont="1" applyBorder="1" applyAlignment="1" applyProtection="1">
      <alignment horizontal="center" vertical="center" shrinkToFit="1"/>
      <protection locked="0"/>
    </xf>
    <xf numFmtId="0" fontId="34" fillId="7" borderId="63" xfId="4" applyFont="1" applyFill="1" applyBorder="1" applyAlignment="1">
      <alignment horizontal="center" vertical="center" shrinkToFit="1"/>
    </xf>
    <xf numFmtId="0" fontId="34" fillId="7" borderId="31" xfId="4" applyFont="1" applyFill="1" applyBorder="1" applyAlignment="1">
      <alignment horizontal="center" vertical="center" shrinkToFit="1"/>
    </xf>
    <xf numFmtId="0" fontId="34" fillId="7" borderId="62" xfId="4" applyFont="1" applyFill="1" applyBorder="1" applyAlignment="1">
      <alignment horizontal="center" vertical="center" shrinkToFit="1"/>
    </xf>
    <xf numFmtId="0" fontId="34" fillId="7" borderId="5" xfId="4" applyFont="1" applyFill="1" applyBorder="1" applyAlignment="1">
      <alignment horizontal="center" vertical="center" shrinkToFit="1"/>
    </xf>
    <xf numFmtId="0" fontId="34" fillId="7" borderId="36" xfId="4" applyFont="1" applyFill="1" applyBorder="1" applyAlignment="1">
      <alignment horizontal="center" vertical="center" shrinkToFit="1"/>
    </xf>
    <xf numFmtId="0" fontId="34" fillId="7" borderId="54" xfId="4" applyFont="1" applyFill="1" applyBorder="1" applyAlignment="1">
      <alignment horizontal="center" vertical="center" shrinkToFit="1"/>
    </xf>
    <xf numFmtId="0" fontId="30" fillId="0" borderId="31" xfId="4" applyFont="1" applyBorder="1" applyAlignment="1" applyProtection="1">
      <alignment horizontal="center" vertical="center" shrinkToFit="1"/>
      <protection locked="0"/>
    </xf>
    <xf numFmtId="0" fontId="30" fillId="0" borderId="62" xfId="4" applyFont="1" applyBorder="1" applyAlignment="1" applyProtection="1">
      <alignment horizontal="center" vertical="center" shrinkToFit="1"/>
      <protection locked="0"/>
    </xf>
    <xf numFmtId="0" fontId="30" fillId="0" borderId="38" xfId="4" applyFont="1" applyBorder="1" applyAlignment="1" applyProtection="1">
      <alignment horizontal="center" vertical="center" shrinkToFit="1"/>
      <protection locked="0"/>
    </xf>
    <xf numFmtId="0" fontId="30" fillId="0" borderId="36" xfId="4" applyFont="1" applyBorder="1" applyAlignment="1" applyProtection="1">
      <alignment horizontal="center" vertical="center" shrinkToFit="1"/>
      <protection locked="0"/>
    </xf>
    <xf numFmtId="0" fontId="30" fillId="0" borderId="54" xfId="4" applyFont="1" applyBorder="1" applyAlignment="1" applyProtection="1">
      <alignment horizontal="center" vertical="center" shrinkToFit="1"/>
      <protection locked="0"/>
    </xf>
    <xf numFmtId="0" fontId="34" fillId="7" borderId="100" xfId="4" applyFont="1" applyFill="1" applyBorder="1" applyAlignment="1">
      <alignment horizontal="center" vertical="center" shrinkToFit="1"/>
    </xf>
    <xf numFmtId="0" fontId="34" fillId="7" borderId="99" xfId="4" applyFont="1" applyFill="1" applyBorder="1" applyAlignment="1">
      <alignment horizontal="center" vertical="center" shrinkToFit="1"/>
    </xf>
    <xf numFmtId="0" fontId="34" fillId="7" borderId="232" xfId="4" applyFont="1" applyFill="1" applyBorder="1" applyAlignment="1">
      <alignment horizontal="center" vertical="center" shrinkToFit="1"/>
    </xf>
    <xf numFmtId="0" fontId="30" fillId="0" borderId="100" xfId="4" applyFont="1" applyBorder="1" applyAlignment="1">
      <alignment horizontal="center" vertical="center" shrinkToFit="1"/>
    </xf>
    <xf numFmtId="0" fontId="30" fillId="0" borderId="99" xfId="4" applyFont="1" applyBorder="1" applyAlignment="1">
      <alignment horizontal="center" vertical="center" shrinkToFit="1"/>
    </xf>
    <xf numFmtId="0" fontId="39" fillId="0" borderId="236" xfId="4" applyFont="1" applyBorder="1" applyAlignment="1" applyProtection="1">
      <alignment horizontal="center" vertical="center" shrinkToFit="1"/>
      <protection locked="0"/>
    </xf>
    <xf numFmtId="0" fontId="39" fillId="0" borderId="237" xfId="4" applyFont="1" applyBorder="1" applyAlignment="1" applyProtection="1">
      <alignment horizontal="center" vertical="center" shrinkToFit="1"/>
      <protection locked="0"/>
    </xf>
    <xf numFmtId="0" fontId="39" fillId="0" borderId="239" xfId="4" applyFont="1" applyBorder="1" applyAlignment="1" applyProtection="1">
      <alignment horizontal="center" vertical="center" shrinkToFit="1"/>
      <protection locked="0"/>
    </xf>
    <xf numFmtId="0" fontId="39" fillId="0" borderId="240" xfId="4" applyFont="1" applyBorder="1" applyAlignment="1" applyProtection="1">
      <alignment horizontal="center" vertical="center" shrinkToFit="1"/>
      <protection locked="0"/>
    </xf>
    <xf numFmtId="0" fontId="39" fillId="0" borderId="238" xfId="4" applyFont="1" applyBorder="1" applyAlignment="1" applyProtection="1">
      <alignment horizontal="center" vertical="center" shrinkToFit="1"/>
      <protection locked="0"/>
    </xf>
    <xf numFmtId="0" fontId="39" fillId="0" borderId="241" xfId="4" applyFont="1" applyBorder="1" applyAlignment="1" applyProtection="1">
      <alignment horizontal="center" vertical="center" shrinkToFit="1"/>
      <protection locked="0"/>
    </xf>
    <xf numFmtId="0" fontId="34" fillId="7" borderId="193" xfId="4" applyFont="1" applyFill="1" applyBorder="1" applyAlignment="1">
      <alignment horizontal="center" vertical="center" shrinkToFit="1"/>
    </xf>
    <xf numFmtId="0" fontId="34" fillId="7" borderId="194" xfId="4" applyFont="1" applyFill="1" applyBorder="1" applyAlignment="1">
      <alignment horizontal="center" vertical="center" shrinkToFit="1"/>
    </xf>
    <xf numFmtId="0" fontId="34" fillId="7" borderId="195" xfId="4" applyFont="1" applyFill="1" applyBorder="1" applyAlignment="1">
      <alignment horizontal="center" vertical="center" shrinkToFit="1"/>
    </xf>
    <xf numFmtId="0" fontId="30" fillId="0" borderId="0" xfId="4" applyFont="1" applyAlignment="1">
      <alignment horizontal="center" vertical="center" shrinkToFit="1"/>
    </xf>
    <xf numFmtId="0" fontId="30" fillId="0" borderId="0" xfId="0" applyFont="1" applyAlignment="1" applyProtection="1">
      <alignment horizontal="center" vertical="center" shrinkToFit="1"/>
      <protection locked="0"/>
    </xf>
    <xf numFmtId="0" fontId="30" fillId="0" borderId="12" xfId="0" applyFont="1" applyBorder="1" applyAlignment="1" applyProtection="1">
      <alignment horizontal="center" vertical="center" shrinkToFit="1"/>
      <protection locked="0"/>
    </xf>
    <xf numFmtId="0" fontId="30" fillId="0" borderId="12" xfId="4" applyFont="1" applyBorder="1" applyAlignment="1">
      <alignment horizontal="center" vertical="center" shrinkToFit="1"/>
    </xf>
    <xf numFmtId="0" fontId="30" fillId="0" borderId="61" xfId="4" applyFont="1" applyBorder="1" applyAlignment="1">
      <alignment horizontal="center" vertical="center" shrinkToFit="1"/>
    </xf>
    <xf numFmtId="0" fontId="30" fillId="0" borderId="34" xfId="4" applyFont="1" applyBorder="1" applyAlignment="1">
      <alignment horizontal="center" vertical="center" shrinkToFit="1"/>
    </xf>
    <xf numFmtId="49" fontId="30" fillId="0" borderId="68" xfId="4" applyNumberFormat="1" applyFont="1" applyBorder="1" applyAlignment="1" applyProtection="1">
      <alignment horizontal="center" vertical="center" shrinkToFit="1"/>
      <protection locked="0"/>
    </xf>
    <xf numFmtId="0" fontId="34" fillId="7" borderId="66" xfId="4" applyFont="1" applyFill="1" applyBorder="1" applyAlignment="1">
      <alignment horizontal="center" vertical="center" shrinkToFit="1"/>
    </xf>
    <xf numFmtId="0" fontId="34" fillId="7" borderId="67" xfId="4" applyFont="1" applyFill="1" applyBorder="1" applyAlignment="1">
      <alignment horizontal="center" vertical="center" shrinkToFit="1"/>
    </xf>
    <xf numFmtId="0" fontId="34" fillId="7" borderId="68" xfId="4" applyFont="1" applyFill="1" applyBorder="1" applyAlignment="1">
      <alignment horizontal="center" vertical="center" shrinkToFit="1"/>
    </xf>
    <xf numFmtId="0" fontId="34" fillId="7" borderId="49" xfId="4" applyFont="1" applyFill="1" applyBorder="1" applyAlignment="1">
      <alignment horizontal="center" vertical="center"/>
    </xf>
    <xf numFmtId="0" fontId="34" fillId="7" borderId="50" xfId="4" applyFont="1" applyFill="1" applyBorder="1" applyAlignment="1">
      <alignment horizontal="center" vertical="center"/>
    </xf>
    <xf numFmtId="0" fontId="34" fillId="7" borderId="51" xfId="4" applyFont="1" applyFill="1" applyBorder="1" applyAlignment="1">
      <alignment horizontal="center" vertical="center"/>
    </xf>
    <xf numFmtId="0" fontId="34" fillId="0" borderId="1" xfId="4" applyFont="1" applyBorder="1" applyAlignment="1">
      <alignment horizontal="left" vertical="center" shrinkToFit="1"/>
    </xf>
    <xf numFmtId="0" fontId="34" fillId="0" borderId="59" xfId="4" applyFont="1" applyBorder="1" applyAlignment="1">
      <alignment horizontal="left" vertical="center" shrinkToFit="1"/>
    </xf>
    <xf numFmtId="0" fontId="34" fillId="7" borderId="60" xfId="4" applyFont="1" applyFill="1" applyBorder="1" applyAlignment="1">
      <alignment horizontal="center" vertical="center"/>
    </xf>
    <xf numFmtId="0" fontId="34" fillId="60" borderId="60" xfId="4" applyFont="1" applyFill="1" applyBorder="1" applyAlignment="1" applyProtection="1">
      <alignment horizontal="left" vertical="center" shrinkToFit="1"/>
      <protection locked="0"/>
    </xf>
    <xf numFmtId="0" fontId="34" fillId="60" borderId="56" xfId="4" applyFont="1" applyFill="1" applyBorder="1" applyAlignment="1" applyProtection="1">
      <alignment horizontal="left" vertical="center" shrinkToFit="1"/>
      <protection locked="0"/>
    </xf>
    <xf numFmtId="0" fontId="34" fillId="60" borderId="57" xfId="4" applyFont="1" applyFill="1" applyBorder="1" applyAlignment="1" applyProtection="1">
      <alignment horizontal="left" vertical="center" shrinkToFit="1"/>
      <protection locked="0"/>
    </xf>
    <xf numFmtId="0" fontId="34" fillId="7" borderId="64" xfId="4" applyFont="1" applyFill="1" applyBorder="1" applyAlignment="1">
      <alignment horizontal="center" vertical="center" shrinkToFit="1"/>
    </xf>
    <xf numFmtId="0" fontId="39" fillId="0" borderId="51" xfId="4" applyFont="1" applyBorder="1" applyAlignment="1" applyProtection="1">
      <alignment horizontal="left" vertical="center" shrinkToFit="1"/>
      <protection locked="0"/>
    </xf>
    <xf numFmtId="0" fontId="39" fillId="0" borderId="54" xfId="4" applyFont="1" applyBorder="1" applyAlignment="1" applyProtection="1">
      <alignment horizontal="left" vertical="center" shrinkToFit="1"/>
      <protection locked="0"/>
    </xf>
    <xf numFmtId="0" fontId="123" fillId="0" borderId="34" xfId="4" applyFont="1" applyBorder="1" applyAlignment="1" applyProtection="1">
      <alignment horizontal="left" vertical="center" shrinkToFit="1"/>
      <protection locked="0"/>
    </xf>
    <xf numFmtId="0" fontId="123" fillId="0" borderId="37" xfId="4" applyFont="1" applyBorder="1" applyAlignment="1" applyProtection="1">
      <alignment horizontal="left" vertical="center" shrinkToFit="1"/>
      <protection locked="0"/>
    </xf>
    <xf numFmtId="0" fontId="34" fillId="7" borderId="52" xfId="4" applyFont="1" applyFill="1" applyBorder="1" applyAlignment="1">
      <alignment horizontal="center" vertical="center"/>
    </xf>
    <xf numFmtId="0" fontId="34" fillId="0" borderId="7" xfId="10" applyNumberFormat="1" applyFont="1" applyFill="1" applyBorder="1" applyAlignment="1" applyProtection="1">
      <alignment horizontal="left" vertical="center" shrinkToFit="1"/>
      <protection locked="0"/>
    </xf>
    <xf numFmtId="0" fontId="34" fillId="0" borderId="12" xfId="10" applyNumberFormat="1" applyFont="1" applyFill="1" applyBorder="1" applyAlignment="1" applyProtection="1">
      <alignment horizontal="left" vertical="center" shrinkToFit="1"/>
      <protection locked="0"/>
    </xf>
    <xf numFmtId="0" fontId="34" fillId="0" borderId="61" xfId="10" applyNumberFormat="1" applyFont="1" applyFill="1" applyBorder="1" applyAlignment="1" applyProtection="1">
      <alignment horizontal="left" vertical="center" shrinkToFit="1"/>
      <protection locked="0"/>
    </xf>
    <xf numFmtId="0" fontId="34" fillId="0" borderId="5" xfId="10" applyNumberFormat="1" applyFont="1" applyFill="1" applyBorder="1" applyAlignment="1" applyProtection="1">
      <alignment horizontal="left" vertical="center" shrinkToFit="1"/>
      <protection locked="0"/>
    </xf>
    <xf numFmtId="0" fontId="34" fillId="0" borderId="36" xfId="10" applyNumberFormat="1" applyFont="1" applyFill="1" applyBorder="1" applyAlignment="1" applyProtection="1">
      <alignment horizontal="left" vertical="center" shrinkToFit="1"/>
      <protection locked="0"/>
    </xf>
    <xf numFmtId="0" fontId="34" fillId="0" borderId="37" xfId="10" applyNumberFormat="1" applyFont="1" applyFill="1" applyBorder="1" applyAlignment="1" applyProtection="1">
      <alignment horizontal="left" vertical="center" shrinkToFit="1"/>
      <protection locked="0"/>
    </xf>
    <xf numFmtId="0" fontId="34" fillId="0" borderId="7"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right" vertical="center" shrinkToFit="1"/>
      <protection locked="0"/>
    </xf>
    <xf numFmtId="0" fontId="34" fillId="0" borderId="5" xfId="10" applyNumberFormat="1" applyFont="1" applyFill="1" applyBorder="1" applyAlignment="1" applyProtection="1">
      <alignment horizontal="right" vertical="center" shrinkToFit="1"/>
      <protection locked="0"/>
    </xf>
    <xf numFmtId="0" fontId="34" fillId="0" borderId="36" xfId="10" applyNumberFormat="1" applyFont="1" applyFill="1" applyBorder="1" applyAlignment="1" applyProtection="1">
      <alignment horizontal="right" vertical="center" shrinkToFit="1"/>
      <protection locked="0"/>
    </xf>
    <xf numFmtId="0" fontId="34" fillId="0" borderId="12" xfId="10" applyNumberFormat="1" applyFont="1" applyFill="1" applyBorder="1" applyAlignment="1" applyProtection="1">
      <alignment horizontal="center" vertical="center" shrinkToFit="1"/>
    </xf>
    <xf numFmtId="0" fontId="34" fillId="0" borderId="36" xfId="10" applyNumberFormat="1" applyFont="1" applyFill="1" applyBorder="1" applyAlignment="1" applyProtection="1">
      <alignment horizontal="center" vertical="center" shrinkToFit="1"/>
    </xf>
    <xf numFmtId="0" fontId="34" fillId="0" borderId="13" xfId="10" applyNumberFormat="1" applyFont="1" applyFill="1" applyBorder="1" applyAlignment="1" applyProtection="1">
      <alignment horizontal="left" vertical="center" shrinkToFit="1"/>
      <protection locked="0"/>
    </xf>
    <xf numFmtId="0" fontId="34" fillId="0" borderId="54" xfId="10" applyNumberFormat="1" applyFont="1" applyFill="1" applyBorder="1" applyAlignment="1" applyProtection="1">
      <alignment horizontal="left" vertical="center" shrinkToFit="1"/>
      <protection locked="0"/>
    </xf>
    <xf numFmtId="0" fontId="44" fillId="0" borderId="112" xfId="10" applyNumberFormat="1" applyFont="1" applyFill="1" applyBorder="1" applyAlignment="1" applyProtection="1">
      <alignment horizontal="center" vertical="center" shrinkToFit="1"/>
      <protection locked="0"/>
    </xf>
    <xf numFmtId="0" fontId="34" fillId="0" borderId="7" xfId="4" applyFont="1" applyBorder="1" applyAlignment="1" applyProtection="1">
      <alignment horizontal="left" vertical="center" wrapText="1" shrinkToFit="1"/>
      <protection locked="0"/>
    </xf>
    <xf numFmtId="0" fontId="34" fillId="0" borderId="12" xfId="4" applyFont="1" applyBorder="1" applyAlignment="1" applyProtection="1">
      <alignment horizontal="left" vertical="center" wrapText="1" shrinkToFit="1"/>
      <protection locked="0"/>
    </xf>
    <xf numFmtId="0" fontId="34" fillId="0" borderId="61" xfId="4" applyFont="1" applyBorder="1" applyAlignment="1" applyProtection="1">
      <alignment horizontal="left" vertical="center" wrapText="1" shrinkToFit="1"/>
      <protection locked="0"/>
    </xf>
    <xf numFmtId="0" fontId="34" fillId="0" borderId="5" xfId="4" applyFont="1" applyBorder="1" applyAlignment="1" applyProtection="1">
      <alignment horizontal="left" vertical="center" wrapText="1" shrinkToFit="1"/>
      <protection locked="0"/>
    </xf>
    <xf numFmtId="0" fontId="34" fillId="0" borderId="36" xfId="4" applyFont="1" applyBorder="1" applyAlignment="1" applyProtection="1">
      <alignment horizontal="left" vertical="center" wrapText="1" shrinkToFit="1"/>
      <protection locked="0"/>
    </xf>
    <xf numFmtId="0" fontId="34" fillId="0" borderId="37" xfId="4" applyFont="1" applyBorder="1" applyAlignment="1" applyProtection="1">
      <alignment horizontal="left" vertical="center" wrapText="1" shrinkToFit="1"/>
      <protection locked="0"/>
    </xf>
    <xf numFmtId="0" fontId="34" fillId="7" borderId="4" xfId="4" applyFont="1" applyFill="1" applyBorder="1" applyAlignment="1">
      <alignment horizontal="center" vertical="center" wrapText="1"/>
    </xf>
    <xf numFmtId="0" fontId="34" fillId="7" borderId="200" xfId="4" applyFont="1" applyFill="1" applyBorder="1" applyAlignment="1">
      <alignment horizontal="center" vertical="center" wrapText="1"/>
    </xf>
    <xf numFmtId="0" fontId="34" fillId="7" borderId="2" xfId="4" applyFont="1" applyFill="1" applyBorder="1" applyAlignment="1">
      <alignment horizontal="center" vertical="center" wrapText="1"/>
    </xf>
    <xf numFmtId="0" fontId="123" fillId="0" borderId="193" xfId="4" applyFont="1" applyBorder="1" applyAlignment="1" applyProtection="1">
      <alignment horizontal="left" vertical="center"/>
      <protection locked="0"/>
    </xf>
    <xf numFmtId="0" fontId="123" fillId="0" borderId="194" xfId="4" applyFont="1" applyBorder="1" applyAlignment="1" applyProtection="1">
      <alignment horizontal="left" vertical="center"/>
      <protection locked="0"/>
    </xf>
    <xf numFmtId="0" fontId="123" fillId="0" borderId="196" xfId="4" applyFont="1" applyBorder="1" applyAlignment="1" applyProtection="1">
      <alignment horizontal="left" vertical="center"/>
      <protection locked="0"/>
    </xf>
    <xf numFmtId="0" fontId="123" fillId="0" borderId="5" xfId="4" applyFont="1" applyBorder="1" applyAlignment="1" applyProtection="1">
      <alignment horizontal="left" vertical="center"/>
      <protection locked="0"/>
    </xf>
    <xf numFmtId="0" fontId="123" fillId="0" borderId="36" xfId="4" applyFont="1" applyBorder="1" applyAlignment="1" applyProtection="1">
      <alignment horizontal="left" vertical="center"/>
      <protection locked="0"/>
    </xf>
    <xf numFmtId="0" fontId="123" fillId="0" borderId="37" xfId="4" applyFont="1" applyBorder="1" applyAlignment="1" applyProtection="1">
      <alignment horizontal="left" vertical="center"/>
      <protection locked="0"/>
    </xf>
    <xf numFmtId="0" fontId="34" fillId="0" borderId="193" xfId="4" applyFont="1" applyBorder="1" applyAlignment="1" applyProtection="1">
      <alignment horizontal="left" vertical="center" wrapText="1" shrinkToFit="1"/>
      <protection locked="0"/>
    </xf>
    <xf numFmtId="0" fontId="34" fillId="0" borderId="194" xfId="4" applyFont="1" applyBorder="1" applyAlignment="1" applyProtection="1">
      <alignment horizontal="left" vertical="center" wrapText="1" shrinkToFit="1"/>
      <protection locked="0"/>
    </xf>
    <xf numFmtId="0" fontId="34" fillId="0" borderId="195" xfId="4" applyFont="1" applyBorder="1" applyAlignment="1" applyProtection="1">
      <alignment horizontal="left" vertical="center" wrapText="1" shrinkToFit="1"/>
      <protection locked="0"/>
    </xf>
    <xf numFmtId="0" fontId="34" fillId="0" borderId="54" xfId="4" applyFont="1" applyBorder="1" applyAlignment="1" applyProtection="1">
      <alignment horizontal="left" vertical="center" wrapText="1" shrinkToFit="1"/>
      <protection locked="0"/>
    </xf>
    <xf numFmtId="0" fontId="30" fillId="0" borderId="196" xfId="4" applyFont="1" applyBorder="1" applyAlignment="1">
      <alignment horizontal="center" vertical="center" wrapText="1" shrinkToFit="1"/>
    </xf>
    <xf numFmtId="0" fontId="30" fillId="0" borderId="37" xfId="4" applyFont="1" applyBorder="1" applyAlignment="1">
      <alignment horizontal="center" vertical="center" wrapText="1" shrinkToFit="1"/>
    </xf>
    <xf numFmtId="0" fontId="30" fillId="0" borderId="7" xfId="4" applyFont="1" applyBorder="1" applyAlignment="1" applyProtection="1">
      <alignment horizontal="left" vertical="center"/>
      <protection locked="0"/>
    </xf>
    <xf numFmtId="0" fontId="30" fillId="0" borderId="12" xfId="4" applyFont="1" applyBorder="1" applyAlignment="1" applyProtection="1">
      <alignment horizontal="left" vertical="center"/>
      <protection locked="0"/>
    </xf>
    <xf numFmtId="0" fontId="30" fillId="0" borderId="13" xfId="4" applyFont="1" applyBorder="1" applyAlignment="1" applyProtection="1">
      <alignment horizontal="left" vertical="center"/>
      <protection locked="0"/>
    </xf>
    <xf numFmtId="0" fontId="30" fillId="0" borderId="5" xfId="4" applyFont="1" applyBorder="1" applyAlignment="1" applyProtection="1">
      <alignment horizontal="left" vertical="center"/>
      <protection locked="0"/>
    </xf>
    <xf numFmtId="0" fontId="30" fillId="0" borderId="36" xfId="4" applyFont="1" applyBorder="1" applyAlignment="1" applyProtection="1">
      <alignment horizontal="left" vertical="center"/>
      <protection locked="0"/>
    </xf>
    <xf numFmtId="0" fontId="30" fillId="0" borderId="54" xfId="4" applyFont="1" applyBorder="1" applyAlignment="1" applyProtection="1">
      <alignment horizontal="left" vertical="center"/>
      <protection locked="0"/>
    </xf>
    <xf numFmtId="0" fontId="30" fillId="0" borderId="7" xfId="4" applyFont="1" applyBorder="1" applyAlignment="1" applyProtection="1">
      <alignment horizontal="left" vertical="center" wrapText="1" shrinkToFit="1"/>
      <protection locked="0"/>
    </xf>
    <xf numFmtId="0" fontId="30" fillId="0" borderId="12" xfId="4" applyFont="1" applyBorder="1" applyAlignment="1" applyProtection="1">
      <alignment horizontal="left" vertical="center" wrapText="1" shrinkToFit="1"/>
      <protection locked="0"/>
    </xf>
    <xf numFmtId="0" fontId="30" fillId="0" borderId="13" xfId="4" applyFont="1" applyBorder="1" applyAlignment="1" applyProtection="1">
      <alignment horizontal="left" vertical="center" wrapText="1" shrinkToFit="1"/>
      <protection locked="0"/>
    </xf>
    <xf numFmtId="0" fontId="30" fillId="0" borderId="5" xfId="4" applyFont="1" applyBorder="1" applyAlignment="1" applyProtection="1">
      <alignment horizontal="left" vertical="center" wrapText="1" shrinkToFit="1"/>
      <protection locked="0"/>
    </xf>
    <xf numFmtId="0" fontId="30" fillId="0" borderId="36" xfId="4" applyFont="1" applyBorder="1" applyAlignment="1" applyProtection="1">
      <alignment horizontal="left" vertical="center" wrapText="1" shrinkToFit="1"/>
      <protection locked="0"/>
    </xf>
    <xf numFmtId="0" fontId="30" fillId="0" borderId="54" xfId="4" applyFont="1" applyBorder="1" applyAlignment="1" applyProtection="1">
      <alignment horizontal="left" vertical="center" wrapText="1" shrinkToFit="1"/>
      <protection locked="0"/>
    </xf>
    <xf numFmtId="0" fontId="34" fillId="20" borderId="1" xfId="4" applyFont="1" applyFill="1" applyBorder="1" applyAlignment="1">
      <alignment horizontal="center" vertical="center" shrinkToFit="1"/>
    </xf>
    <xf numFmtId="0" fontId="34" fillId="20" borderId="59" xfId="4" applyFont="1" applyFill="1" applyBorder="1" applyAlignment="1">
      <alignment horizontal="center" vertical="center" shrinkToFit="1"/>
    </xf>
    <xf numFmtId="0" fontId="30" fillId="21" borderId="36" xfId="4" applyFont="1" applyFill="1" applyBorder="1" applyAlignment="1" applyProtection="1">
      <alignment horizontal="left" vertical="center" shrinkToFit="1"/>
      <protection locked="0"/>
    </xf>
    <xf numFmtId="0" fontId="30" fillId="21" borderId="37" xfId="4" applyFont="1" applyFill="1" applyBorder="1" applyAlignment="1" applyProtection="1">
      <alignment horizontal="left" vertical="center" shrinkToFit="1"/>
      <protection locked="0"/>
    </xf>
    <xf numFmtId="38" fontId="34" fillId="0" borderId="7" xfId="11" applyFont="1" applyFill="1" applyBorder="1" applyAlignment="1" applyProtection="1">
      <alignment horizontal="right" vertical="center" wrapText="1" shrinkToFit="1"/>
      <protection locked="0"/>
    </xf>
    <xf numFmtId="38" fontId="34" fillId="0" borderId="12" xfId="11" applyFont="1" applyFill="1" applyBorder="1" applyAlignment="1" applyProtection="1">
      <alignment horizontal="right" vertical="center" wrapText="1" shrinkToFit="1"/>
      <protection locked="0"/>
    </xf>
    <xf numFmtId="38" fontId="34" fillId="0" borderId="5" xfId="11" applyFont="1" applyFill="1" applyBorder="1" applyAlignment="1" applyProtection="1">
      <alignment horizontal="right" vertical="center" wrapText="1" shrinkToFit="1"/>
      <protection locked="0"/>
    </xf>
    <xf numFmtId="38" fontId="34" fillId="0" borderId="36" xfId="11" applyFont="1" applyFill="1" applyBorder="1" applyAlignment="1" applyProtection="1">
      <alignment horizontal="right" vertical="center" wrapText="1" shrinkToFit="1"/>
      <protection locked="0"/>
    </xf>
    <xf numFmtId="0" fontId="30" fillId="0" borderId="12" xfId="4" applyFont="1" applyBorder="1" applyAlignment="1">
      <alignment horizontal="center" vertical="center" wrapText="1" shrinkToFit="1"/>
    </xf>
    <xf numFmtId="0" fontId="34" fillId="7" borderId="6" xfId="4" applyFont="1" applyFill="1" applyBorder="1" applyAlignment="1">
      <alignment horizontal="center" vertical="center" shrinkToFit="1"/>
    </xf>
    <xf numFmtId="38" fontId="34" fillId="0" borderId="7" xfId="11" applyFont="1" applyFill="1" applyBorder="1" applyAlignment="1" applyProtection="1">
      <alignment horizontal="right" vertical="center" shrinkToFit="1"/>
      <protection locked="0"/>
    </xf>
    <xf numFmtId="38" fontId="34" fillId="0" borderId="12" xfId="11" applyFont="1" applyFill="1" applyBorder="1" applyAlignment="1" applyProtection="1">
      <alignment horizontal="right" vertical="center" shrinkToFit="1"/>
      <protection locked="0"/>
    </xf>
    <xf numFmtId="38" fontId="34" fillId="0" borderId="5" xfId="11" applyFont="1" applyFill="1" applyBorder="1" applyAlignment="1" applyProtection="1">
      <alignment horizontal="right" vertical="center" shrinkToFit="1"/>
      <protection locked="0"/>
    </xf>
    <xf numFmtId="38" fontId="34" fillId="0" borderId="36" xfId="11" applyFont="1" applyFill="1" applyBorder="1" applyAlignment="1" applyProtection="1">
      <alignment horizontal="right" vertical="center" shrinkToFit="1"/>
      <protection locked="0"/>
    </xf>
    <xf numFmtId="178" fontId="34" fillId="0" borderId="12" xfId="4" applyNumberFormat="1" applyFont="1" applyBorder="1" applyAlignment="1">
      <alignment horizontal="center" vertical="center" shrinkToFit="1"/>
    </xf>
    <xf numFmtId="178" fontId="34" fillId="0" borderId="36" xfId="4" applyNumberFormat="1" applyFont="1" applyBorder="1" applyAlignment="1">
      <alignment horizontal="center" vertical="center" shrinkToFit="1"/>
    </xf>
    <xf numFmtId="0" fontId="34" fillId="0" borderId="12" xfId="4" applyFont="1" applyBorder="1" applyAlignment="1">
      <alignment horizontal="center" vertical="center" shrinkToFit="1"/>
    </xf>
    <xf numFmtId="0" fontId="34" fillId="0" borderId="36" xfId="4" applyFont="1" applyBorder="1" applyAlignment="1">
      <alignment horizontal="center" vertical="center" shrinkToFit="1"/>
    </xf>
    <xf numFmtId="0" fontId="34" fillId="0" borderId="13" xfId="4" applyFont="1" applyBorder="1" applyAlignment="1">
      <alignment horizontal="center" vertical="center" shrinkToFit="1"/>
    </xf>
    <xf numFmtId="0" fontId="34" fillId="0" borderId="54" xfId="4" applyFont="1" applyBorder="1" applyAlignment="1">
      <alignment horizontal="center" vertical="center" shrinkToFit="1"/>
    </xf>
    <xf numFmtId="0" fontId="30" fillId="0" borderId="37" xfId="4" applyFont="1" applyBorder="1" applyAlignment="1">
      <alignment horizontal="center" vertical="center" shrinkToFit="1"/>
    </xf>
    <xf numFmtId="0" fontId="29" fillId="0" borderId="3" xfId="4" applyFont="1" applyBorder="1" applyAlignment="1">
      <alignment horizontal="center" vertical="center" shrinkToFit="1"/>
    </xf>
    <xf numFmtId="0" fontId="29" fillId="0" borderId="1" xfId="4" applyFont="1" applyBorder="1" applyAlignment="1">
      <alignment horizontal="center" vertical="center" shrinkToFit="1"/>
    </xf>
    <xf numFmtId="0" fontId="29" fillId="0" borderId="59" xfId="4" applyFont="1" applyBorder="1" applyAlignment="1">
      <alignment horizontal="center" vertical="center" shrinkToFit="1"/>
    </xf>
    <xf numFmtId="0" fontId="34" fillId="7" borderId="7" xfId="4" applyFont="1" applyFill="1" applyBorder="1" applyAlignment="1">
      <alignment horizontal="center" vertical="center" shrinkToFit="1"/>
    </xf>
    <xf numFmtId="0" fontId="34" fillId="7" borderId="147" xfId="4" applyFont="1" applyFill="1" applyBorder="1" applyAlignment="1">
      <alignment horizontal="center" vertical="center" shrinkToFit="1"/>
    </xf>
    <xf numFmtId="0" fontId="34" fillId="7" borderId="149" xfId="4" applyFont="1" applyFill="1" applyBorder="1" applyAlignment="1">
      <alignment horizontal="center" vertical="center" shrinkToFit="1"/>
    </xf>
    <xf numFmtId="0" fontId="30" fillId="0" borderId="7" xfId="4" applyFont="1" applyBorder="1" applyAlignment="1" applyProtection="1">
      <alignment horizontal="center" vertical="center" shrinkToFit="1"/>
      <protection locked="0"/>
    </xf>
    <xf numFmtId="0" fontId="30" fillId="0" borderId="147" xfId="4" applyFont="1" applyBorder="1" applyAlignment="1" applyProtection="1">
      <alignment horizontal="center" vertical="center" shrinkToFit="1"/>
      <protection locked="0"/>
    </xf>
    <xf numFmtId="0" fontId="30" fillId="0" borderId="149" xfId="4" applyFont="1" applyBorder="1" applyAlignment="1" applyProtection="1">
      <alignment horizontal="center" vertical="center" shrinkToFit="1"/>
      <protection locked="0"/>
    </xf>
    <xf numFmtId="49" fontId="30" fillId="0" borderId="7" xfId="4" applyNumberFormat="1" applyFont="1" applyBorder="1" applyAlignment="1" applyProtection="1">
      <alignment horizontal="center" vertical="center" shrinkToFit="1"/>
      <protection locked="0"/>
    </xf>
    <xf numFmtId="49" fontId="30" fillId="0" borderId="147" xfId="4" applyNumberFormat="1" applyFont="1" applyBorder="1" applyAlignment="1" applyProtection="1">
      <alignment horizontal="center" vertical="center" shrinkToFit="1"/>
      <protection locked="0"/>
    </xf>
    <xf numFmtId="49" fontId="30" fillId="0" borderId="149" xfId="4" applyNumberFormat="1" applyFont="1" applyBorder="1" applyAlignment="1" applyProtection="1">
      <alignment horizontal="center" vertical="center" shrinkToFit="1"/>
      <protection locked="0"/>
    </xf>
    <xf numFmtId="0" fontId="34" fillId="7" borderId="81" xfId="4" applyFont="1" applyFill="1" applyBorder="1" applyAlignment="1">
      <alignment horizontal="center" vertical="center" wrapText="1"/>
    </xf>
    <xf numFmtId="0" fontId="34" fillId="7" borderId="6" xfId="4" applyFont="1" applyFill="1" applyBorder="1" applyAlignment="1">
      <alignment horizontal="center" vertical="center" wrapText="1"/>
    </xf>
    <xf numFmtId="0" fontId="30" fillId="0" borderId="194" xfId="4" applyFont="1" applyBorder="1" applyAlignment="1">
      <alignment horizontal="left" vertical="center" shrinkToFit="1"/>
    </xf>
    <xf numFmtId="0" fontId="30" fillId="0" borderId="36" xfId="4" applyFont="1" applyBorder="1" applyAlignment="1">
      <alignment horizontal="left" vertical="center" shrinkToFit="1"/>
    </xf>
    <xf numFmtId="49" fontId="30" fillId="0" borderId="194" xfId="4" applyNumberFormat="1" applyFont="1" applyBorder="1" applyAlignment="1">
      <alignment horizontal="left" vertical="center" shrinkToFit="1"/>
    </xf>
    <xf numFmtId="49" fontId="30" fillId="0" borderId="36" xfId="4" applyNumberFormat="1" applyFont="1" applyBorder="1" applyAlignment="1">
      <alignment horizontal="left" vertical="center" shrinkToFit="1"/>
    </xf>
    <xf numFmtId="49" fontId="30" fillId="0" borderId="196" xfId="4" applyNumberFormat="1" applyFont="1" applyBorder="1" applyAlignment="1">
      <alignment horizontal="left" vertical="center" shrinkToFit="1"/>
    </xf>
    <xf numFmtId="49" fontId="30" fillId="0" borderId="37" xfId="4" applyNumberFormat="1" applyFont="1" applyBorder="1" applyAlignment="1">
      <alignment horizontal="left" vertical="center" shrinkToFit="1"/>
    </xf>
    <xf numFmtId="0" fontId="34" fillId="7" borderId="6" xfId="4" applyFont="1" applyFill="1" applyBorder="1" applyAlignment="1">
      <alignment horizontal="center" vertical="center" wrapText="1" shrinkToFit="1"/>
    </xf>
    <xf numFmtId="0" fontId="30" fillId="0" borderId="194" xfId="4" applyFont="1" applyBorder="1" applyAlignment="1" applyProtection="1">
      <alignment horizontal="center" vertical="center" shrinkToFit="1"/>
      <protection locked="0"/>
    </xf>
    <xf numFmtId="0" fontId="34" fillId="7" borderId="193" xfId="4" applyFont="1" applyFill="1" applyBorder="1" applyAlignment="1">
      <alignment horizontal="center" vertical="center" wrapText="1" shrinkToFit="1"/>
    </xf>
    <xf numFmtId="0" fontId="34" fillId="0" borderId="0" xfId="4" applyFont="1" applyAlignment="1">
      <alignment horizontal="left" vertical="center" wrapText="1"/>
    </xf>
    <xf numFmtId="0" fontId="39" fillId="0" borderId="63" xfId="4" applyFont="1" applyBorder="1" applyAlignment="1" applyProtection="1">
      <alignment horizontal="center" vertical="center" shrinkToFit="1"/>
      <protection locked="0"/>
    </xf>
    <xf numFmtId="0" fontId="39" fillId="0" borderId="31" xfId="4" applyFont="1" applyBorder="1" applyAlignment="1" applyProtection="1">
      <alignment horizontal="center" vertical="center" shrinkToFit="1"/>
      <protection locked="0"/>
    </xf>
    <xf numFmtId="0" fontId="39" fillId="0" borderId="62" xfId="4" applyFont="1" applyBorder="1" applyAlignment="1" applyProtection="1">
      <alignment horizontal="center" vertical="center" shrinkToFit="1"/>
      <protection locked="0"/>
    </xf>
    <xf numFmtId="0" fontId="39" fillId="0" borderId="5" xfId="4" applyFont="1" applyBorder="1" applyAlignment="1" applyProtection="1">
      <alignment horizontal="center" vertical="center" shrinkToFit="1"/>
      <protection locked="0"/>
    </xf>
    <xf numFmtId="0" fontId="39" fillId="0" borderId="36" xfId="4" applyFont="1" applyBorder="1" applyAlignment="1" applyProtection="1">
      <alignment horizontal="center" vertical="center" shrinkToFit="1"/>
      <protection locked="0"/>
    </xf>
    <xf numFmtId="0" fontId="39" fillId="0" borderId="54" xfId="4" applyFont="1" applyBorder="1" applyAlignment="1" applyProtection="1">
      <alignment horizontal="center" vertical="center" shrinkToFit="1"/>
      <protection locked="0"/>
    </xf>
    <xf numFmtId="0" fontId="30" fillId="0" borderId="31" xfId="4" applyFont="1" applyBorder="1" applyAlignment="1">
      <alignment horizontal="left" vertical="center" wrapText="1"/>
    </xf>
    <xf numFmtId="0" fontId="30" fillId="0" borderId="62" xfId="4" applyFont="1" applyBorder="1" applyAlignment="1">
      <alignment horizontal="left" vertical="center" wrapText="1"/>
    </xf>
    <xf numFmtId="0" fontId="39" fillId="0" borderId="82" xfId="4" applyFont="1" applyBorder="1" applyAlignment="1" applyProtection="1">
      <alignment horizontal="center" vertical="center"/>
      <protection locked="0"/>
    </xf>
    <xf numFmtId="0" fontId="39" fillId="0" borderId="6" xfId="4" applyFont="1" applyBorder="1" applyAlignment="1" applyProtection="1">
      <alignment horizontal="center" vertical="center"/>
      <protection locked="0"/>
    </xf>
    <xf numFmtId="0" fontId="30" fillId="0" borderId="32" xfId="4" applyFont="1" applyBorder="1" applyAlignment="1">
      <alignment horizontal="left" vertical="center" wrapText="1"/>
    </xf>
    <xf numFmtId="0" fontId="30" fillId="0" borderId="36" xfId="4" applyFont="1" applyBorder="1" applyAlignment="1">
      <alignment horizontal="left" vertical="center" wrapText="1"/>
    </xf>
    <xf numFmtId="0" fontId="30" fillId="0" borderId="54" xfId="4" applyFont="1" applyBorder="1" applyAlignment="1">
      <alignment horizontal="left" vertical="center" wrapText="1"/>
    </xf>
    <xf numFmtId="0" fontId="30" fillId="0" borderId="37" xfId="4" applyFont="1" applyBorder="1" applyAlignment="1">
      <alignment horizontal="left" vertical="center" wrapText="1"/>
    </xf>
    <xf numFmtId="0" fontId="34" fillId="19" borderId="272" xfId="4" applyFont="1" applyFill="1" applyBorder="1" applyAlignment="1">
      <alignment horizontal="center" vertical="center" shrinkToFit="1"/>
    </xf>
    <xf numFmtId="0" fontId="34" fillId="19" borderId="273" xfId="4" applyFont="1" applyFill="1" applyBorder="1" applyAlignment="1">
      <alignment horizontal="center" vertical="center" shrinkToFit="1"/>
    </xf>
    <xf numFmtId="0" fontId="34" fillId="19" borderId="275" xfId="4" applyFont="1" applyFill="1" applyBorder="1" applyAlignment="1">
      <alignment horizontal="center" vertical="center" shrinkToFit="1"/>
    </xf>
    <xf numFmtId="0" fontId="34" fillId="19" borderId="5" xfId="4" applyFont="1" applyFill="1" applyBorder="1" applyAlignment="1">
      <alignment horizontal="center" vertical="center" shrinkToFit="1"/>
    </xf>
    <xf numFmtId="0" fontId="34" fillId="19" borderId="36" xfId="4" applyFont="1" applyFill="1" applyBorder="1" applyAlignment="1">
      <alignment horizontal="center" vertical="center" shrinkToFit="1"/>
    </xf>
    <xf numFmtId="0" fontId="34" fillId="19" borderId="54" xfId="4" applyFont="1" applyFill="1" applyBorder="1" applyAlignment="1">
      <alignment horizontal="center" vertical="center" shrinkToFit="1"/>
    </xf>
    <xf numFmtId="0" fontId="30" fillId="10" borderId="8" xfId="4" applyFont="1" applyFill="1" applyBorder="1" applyAlignment="1">
      <alignment horizontal="center" vertical="center" wrapText="1"/>
    </xf>
    <xf numFmtId="0" fontId="30" fillId="10" borderId="0" xfId="4" applyFont="1" applyFill="1" applyAlignment="1">
      <alignment horizontal="center" vertical="center" wrapText="1"/>
    </xf>
    <xf numFmtId="0" fontId="30" fillId="10" borderId="34" xfId="4" applyFont="1" applyFill="1" applyBorder="1" applyAlignment="1">
      <alignment horizontal="center" vertical="center" wrapText="1"/>
    </xf>
    <xf numFmtId="0" fontId="30" fillId="10" borderId="5" xfId="4" applyFont="1" applyFill="1" applyBorder="1" applyAlignment="1">
      <alignment horizontal="center" vertical="center" wrapText="1"/>
    </xf>
    <xf numFmtId="0" fontId="30" fillId="10" borderId="36" xfId="4" applyFont="1" applyFill="1" applyBorder="1" applyAlignment="1">
      <alignment horizontal="center" vertical="center" wrapText="1"/>
    </xf>
    <xf numFmtId="0" fontId="30" fillId="10" borderId="37" xfId="4" applyFont="1" applyFill="1" applyBorder="1" applyAlignment="1">
      <alignment horizontal="center" vertical="center" wrapText="1"/>
    </xf>
    <xf numFmtId="0" fontId="29" fillId="0" borderId="193" xfId="4" applyFont="1" applyBorder="1" applyAlignment="1">
      <alignment horizontal="center" vertical="center"/>
    </xf>
    <xf numFmtId="0" fontId="29" fillId="0" borderId="5" xfId="4" applyFont="1" applyBorder="1" applyAlignment="1">
      <alignment horizontal="center" vertical="center"/>
    </xf>
    <xf numFmtId="0" fontId="30" fillId="0" borderId="194" xfId="4" applyFont="1" applyBorder="1" applyAlignment="1">
      <alignment horizontal="center" vertical="center"/>
    </xf>
    <xf numFmtId="0" fontId="30" fillId="0" borderId="36" xfId="4" applyFont="1" applyBorder="1" applyAlignment="1">
      <alignment horizontal="center" vertical="center"/>
    </xf>
    <xf numFmtId="0" fontId="30" fillId="0" borderId="195" xfId="4" applyFont="1" applyBorder="1" applyAlignment="1">
      <alignment horizontal="center" vertical="center"/>
    </xf>
    <xf numFmtId="0" fontId="30" fillId="0" borderId="54" xfId="4" applyFont="1" applyBorder="1" applyAlignment="1">
      <alignment horizontal="center" vertical="center"/>
    </xf>
    <xf numFmtId="0" fontId="39" fillId="0" borderId="97" xfId="4" applyFont="1" applyBorder="1" applyAlignment="1" applyProtection="1">
      <alignment horizontal="center" vertical="center" shrinkToFit="1"/>
      <protection locked="0"/>
    </xf>
    <xf numFmtId="0" fontId="39" fillId="0" borderId="96" xfId="4" applyFont="1" applyBorder="1" applyAlignment="1" applyProtection="1">
      <alignment horizontal="center" vertical="center" shrinkToFit="1"/>
      <protection locked="0"/>
    </xf>
    <xf numFmtId="0" fontId="39" fillId="0" borderId="93" xfId="4" applyFont="1" applyBorder="1" applyAlignment="1" applyProtection="1">
      <alignment horizontal="center" vertical="center" shrinkToFit="1"/>
      <protection locked="0"/>
    </xf>
    <xf numFmtId="0" fontId="39" fillId="0" borderId="92" xfId="4" applyFont="1" applyBorder="1" applyAlignment="1" applyProtection="1">
      <alignment horizontal="center" vertical="center" shrinkToFit="1"/>
      <protection locked="0"/>
    </xf>
    <xf numFmtId="0" fontId="39" fillId="0" borderId="86" xfId="4" applyFont="1" applyBorder="1" applyAlignment="1" applyProtection="1">
      <alignment horizontal="center" vertical="center" shrinkToFit="1"/>
      <protection locked="0"/>
    </xf>
    <xf numFmtId="0" fontId="39" fillId="0" borderId="87" xfId="4" applyFont="1" applyBorder="1" applyAlignment="1" applyProtection="1">
      <alignment horizontal="center" vertical="center" shrinkToFit="1"/>
      <protection locked="0"/>
    </xf>
    <xf numFmtId="0" fontId="39" fillId="0" borderId="94" xfId="4" applyFont="1" applyBorder="1" applyAlignment="1" applyProtection="1">
      <alignment horizontal="center" vertical="center" shrinkToFit="1"/>
      <protection locked="0"/>
    </xf>
    <xf numFmtId="0" fontId="39" fillId="0" borderId="95" xfId="4" applyFont="1" applyBorder="1" applyAlignment="1" applyProtection="1">
      <alignment horizontal="center" vertical="center" shrinkToFit="1"/>
      <protection locked="0"/>
    </xf>
    <xf numFmtId="0" fontId="30" fillId="8" borderId="7" xfId="4" applyFont="1" applyFill="1" applyBorder="1" applyAlignment="1">
      <alignment horizontal="center" vertical="center" wrapText="1" shrinkToFit="1"/>
    </xf>
    <xf numFmtId="0" fontId="30" fillId="8" borderId="12" xfId="4" applyFont="1" applyFill="1" applyBorder="1" applyAlignment="1">
      <alignment horizontal="center" vertical="center" shrinkToFit="1"/>
    </xf>
    <xf numFmtId="0" fontId="30" fillId="8" borderId="61" xfId="4" applyFont="1" applyFill="1" applyBorder="1" applyAlignment="1">
      <alignment horizontal="center" vertical="center" shrinkToFit="1"/>
    </xf>
    <xf numFmtId="0" fontId="30" fillId="8" borderId="5" xfId="4" applyFont="1" applyFill="1" applyBorder="1" applyAlignment="1">
      <alignment horizontal="center" vertical="center" shrinkToFit="1"/>
    </xf>
    <xf numFmtId="0" fontId="30" fillId="8" borderId="36" xfId="4" applyFont="1" applyFill="1" applyBorder="1" applyAlignment="1">
      <alignment horizontal="center" vertical="center" shrinkToFit="1"/>
    </xf>
    <xf numFmtId="0" fontId="30" fillId="8" borderId="37" xfId="4" applyFont="1" applyFill="1" applyBorder="1" applyAlignment="1">
      <alignment horizontal="center" vertical="center" shrinkToFit="1"/>
    </xf>
    <xf numFmtId="0" fontId="39" fillId="0" borderId="197" xfId="4" applyFont="1" applyBorder="1" applyAlignment="1" applyProtection="1">
      <alignment horizontal="center" vertical="center" shrinkToFit="1"/>
      <protection locked="0"/>
    </xf>
    <xf numFmtId="0" fontId="39" fillId="0" borderId="198" xfId="4" applyFont="1" applyBorder="1" applyAlignment="1" applyProtection="1">
      <alignment horizontal="center" vertical="center" shrinkToFit="1"/>
      <protection locked="0"/>
    </xf>
    <xf numFmtId="0" fontId="39" fillId="0" borderId="203" xfId="4" applyFont="1" applyBorder="1" applyAlignment="1" applyProtection="1">
      <alignment horizontal="center" vertical="center" shrinkToFit="1"/>
      <protection locked="0"/>
    </xf>
    <xf numFmtId="0" fontId="39" fillId="0" borderId="199" xfId="4" applyFont="1" applyBorder="1" applyAlignment="1" applyProtection="1">
      <alignment horizontal="center" vertical="center" shrinkToFit="1"/>
      <protection locked="0"/>
    </xf>
    <xf numFmtId="0" fontId="39" fillId="0" borderId="8" xfId="4" applyFont="1" applyBorder="1" applyAlignment="1" applyProtection="1">
      <alignment horizontal="center" vertical="center" shrinkToFit="1"/>
      <protection locked="0"/>
    </xf>
    <xf numFmtId="0" fontId="39" fillId="0" borderId="88" xfId="4" applyFont="1" applyBorder="1" applyAlignment="1" applyProtection="1">
      <alignment horizontal="center" vertical="center" shrinkToFit="1"/>
      <protection locked="0"/>
    </xf>
    <xf numFmtId="0" fontId="39" fillId="0" borderId="89" xfId="4" applyFont="1" applyBorder="1" applyAlignment="1" applyProtection="1">
      <alignment horizontal="center" vertical="center" shrinkToFit="1"/>
      <protection locked="0"/>
    </xf>
    <xf numFmtId="0" fontId="39" fillId="0" borderId="90" xfId="4" applyFont="1" applyBorder="1" applyAlignment="1" applyProtection="1">
      <alignment horizontal="center" vertical="center" shrinkToFit="1"/>
      <protection locked="0"/>
    </xf>
    <xf numFmtId="0" fontId="39" fillId="0" borderId="91" xfId="4" applyFont="1" applyBorder="1" applyAlignment="1" applyProtection="1">
      <alignment horizontal="center" vertical="center" shrinkToFit="1"/>
      <protection locked="0"/>
    </xf>
    <xf numFmtId="0" fontId="39" fillId="0" borderId="7" xfId="4" applyFont="1" applyBorder="1" applyAlignment="1" applyProtection="1">
      <alignment vertical="center" shrinkToFit="1"/>
      <protection locked="0"/>
    </xf>
    <xf numFmtId="0" fontId="39" fillId="0" borderId="12" xfId="4" applyFont="1" applyBorder="1" applyAlignment="1" applyProtection="1">
      <alignment vertical="center" shrinkToFit="1"/>
      <protection locked="0"/>
    </xf>
    <xf numFmtId="0" fontId="39" fillId="0" borderId="61" xfId="4" applyFont="1" applyBorder="1" applyAlignment="1" applyProtection="1">
      <alignment vertical="center" shrinkToFit="1"/>
      <protection locked="0"/>
    </xf>
    <xf numFmtId="0" fontId="39" fillId="0" borderId="42" xfId="4" applyFont="1" applyBorder="1" applyAlignment="1" applyProtection="1">
      <alignment vertical="center" shrinkToFit="1"/>
      <protection locked="0"/>
    </xf>
    <xf numFmtId="0" fontId="39" fillId="0" borderId="40" xfId="4" applyFont="1" applyBorder="1" applyAlignment="1" applyProtection="1">
      <alignment vertical="center" shrinkToFit="1"/>
      <protection locked="0"/>
    </xf>
    <xf numFmtId="0" fontId="39" fillId="0" borderId="43" xfId="4" applyFont="1" applyBorder="1" applyAlignment="1" applyProtection="1">
      <alignment vertical="center" shrinkToFit="1"/>
      <protection locked="0"/>
    </xf>
    <xf numFmtId="0" fontId="39" fillId="0" borderId="7" xfId="4" applyFont="1" applyBorder="1" applyAlignment="1" applyProtection="1">
      <alignment horizontal="center" vertical="center" shrinkToFit="1"/>
      <protection locked="0"/>
    </xf>
    <xf numFmtId="0" fontId="43" fillId="0" borderId="5" xfId="0" quotePrefix="1" applyFont="1" applyBorder="1" applyAlignment="1" applyProtection="1">
      <alignment horizontal="center" vertical="center"/>
      <protection locked="0"/>
    </xf>
    <xf numFmtId="0" fontId="43" fillId="0" borderId="36" xfId="0" quotePrefix="1" applyFont="1" applyBorder="1" applyAlignment="1" applyProtection="1">
      <alignment horizontal="center" vertical="center"/>
      <protection locked="0"/>
    </xf>
    <xf numFmtId="0" fontId="43" fillId="0" borderId="37" xfId="0" quotePrefix="1" applyFont="1" applyBorder="1" applyAlignment="1" applyProtection="1">
      <alignment horizontal="center" vertical="center"/>
      <protection locked="0"/>
    </xf>
    <xf numFmtId="0" fontId="34" fillId="7" borderId="82" xfId="4" applyFont="1" applyFill="1" applyBorder="1" applyAlignment="1">
      <alignment horizontal="center" vertical="center" shrinkToFit="1"/>
    </xf>
    <xf numFmtId="0" fontId="30" fillId="0" borderId="82" xfId="4" applyFont="1" applyBorder="1" applyAlignment="1" applyProtection="1">
      <alignment horizontal="center" vertical="center" shrinkToFit="1"/>
      <protection locked="0"/>
    </xf>
    <xf numFmtId="0" fontId="30" fillId="0" borderId="83" xfId="4" applyFont="1" applyBorder="1" applyAlignment="1" applyProtection="1">
      <alignment horizontal="center" vertical="center" shrinkToFit="1"/>
      <protection locked="0"/>
    </xf>
    <xf numFmtId="0" fontId="29" fillId="0" borderId="47" xfId="4" applyFont="1" applyBorder="1" applyAlignment="1" applyProtection="1">
      <alignment horizontal="center" vertical="center" shrinkToFit="1"/>
      <protection locked="0"/>
    </xf>
    <xf numFmtId="0" fontId="29" fillId="0" borderId="45" xfId="4" applyFont="1" applyBorder="1" applyAlignment="1" applyProtection="1">
      <alignment horizontal="center" vertical="center" shrinkToFit="1"/>
      <protection locked="0"/>
    </xf>
    <xf numFmtId="0" fontId="29" fillId="0" borderId="303" xfId="4" applyFont="1" applyBorder="1" applyAlignment="1" applyProtection="1">
      <alignment horizontal="center" vertical="center" shrinkToFit="1"/>
      <protection locked="0"/>
    </xf>
    <xf numFmtId="0" fontId="29" fillId="0" borderId="46" xfId="4" applyFont="1" applyBorder="1" applyAlignment="1" applyProtection="1">
      <alignment horizontal="center" vertical="center" shrinkToFit="1"/>
      <protection locked="0"/>
    </xf>
    <xf numFmtId="0" fontId="39" fillId="0" borderId="52" xfId="4" applyFont="1" applyBorder="1" applyAlignment="1" applyProtection="1">
      <alignment horizontal="center" vertical="center" shrinkToFit="1"/>
      <protection locked="0"/>
    </xf>
    <xf numFmtId="0" fontId="39" fillId="0" borderId="50" xfId="4" applyFont="1" applyBorder="1" applyAlignment="1" applyProtection="1">
      <alignment horizontal="center" vertical="center" shrinkToFit="1"/>
      <protection locked="0"/>
    </xf>
    <xf numFmtId="0" fontId="39" fillId="0" borderId="304" xfId="4" applyFont="1" applyBorder="1" applyAlignment="1" applyProtection="1">
      <alignment horizontal="center" vertical="center" shrinkToFit="1"/>
      <protection locked="0"/>
    </xf>
    <xf numFmtId="0" fontId="39" fillId="0" borderId="0" xfId="4" applyFont="1" applyAlignment="1" applyProtection="1">
      <alignment horizontal="center" vertical="center" shrinkToFit="1"/>
      <protection locked="0"/>
    </xf>
    <xf numFmtId="0" fontId="39" fillId="0" borderId="51" xfId="4" applyFont="1" applyBorder="1" applyAlignment="1" applyProtection="1">
      <alignment horizontal="center" vertical="center" shrinkToFit="1"/>
      <protection locked="0"/>
    </xf>
    <xf numFmtId="0" fontId="39" fillId="0" borderId="38" xfId="4" applyFont="1" applyBorder="1" applyAlignment="1" applyProtection="1">
      <alignment horizontal="center" vertical="center" shrinkToFit="1"/>
      <protection locked="0"/>
    </xf>
    <xf numFmtId="0" fontId="40" fillId="0" borderId="6" xfId="10" quotePrefix="1" applyNumberFormat="1" applyFont="1" applyFill="1" applyBorder="1" applyAlignment="1" applyProtection="1">
      <alignment horizontal="center" vertical="center" shrinkToFit="1"/>
      <protection locked="0"/>
    </xf>
    <xf numFmtId="0" fontId="30" fillId="0" borderId="6" xfId="4" applyFont="1" applyBorder="1" applyAlignment="1" applyProtection="1">
      <alignment horizontal="center" vertical="center" shrinkToFit="1"/>
      <protection locked="0"/>
    </xf>
    <xf numFmtId="0" fontId="30" fillId="0" borderId="84" xfId="4" applyFont="1" applyBorder="1" applyAlignment="1" applyProtection="1">
      <alignment horizontal="center" vertical="center" shrinkToFit="1"/>
      <protection locked="0"/>
    </xf>
    <xf numFmtId="0" fontId="34" fillId="7" borderId="11" xfId="4" applyFont="1" applyFill="1" applyBorder="1" applyAlignment="1">
      <alignment horizontal="center" vertical="center" shrinkToFit="1"/>
    </xf>
    <xf numFmtId="0" fontId="30" fillId="0" borderId="11" xfId="4" applyFont="1" applyBorder="1" applyAlignment="1" applyProtection="1">
      <alignment horizontal="center" vertical="center" shrinkToFit="1"/>
      <protection locked="0"/>
    </xf>
    <xf numFmtId="0" fontId="30" fillId="0" borderId="85" xfId="4" applyFont="1" applyBorder="1" applyAlignment="1" applyProtection="1">
      <alignment horizontal="center" vertical="center" shrinkToFit="1"/>
      <protection locked="0"/>
    </xf>
    <xf numFmtId="0" fontId="29" fillId="0" borderId="60" xfId="4" applyFont="1" applyBorder="1" applyAlignment="1" applyProtection="1">
      <alignment vertical="center" shrinkToFit="1"/>
      <protection locked="0"/>
    </xf>
    <xf numFmtId="0" fontId="29" fillId="0" borderId="56" xfId="4" applyFont="1" applyBorder="1" applyAlignment="1" applyProtection="1">
      <alignment vertical="center" shrinkToFit="1"/>
      <protection locked="0"/>
    </xf>
    <xf numFmtId="0" fontId="29" fillId="0" borderId="57" xfId="4" applyFont="1" applyBorder="1" applyAlignment="1" applyProtection="1">
      <alignment vertical="center" shrinkToFit="1"/>
      <protection locked="0"/>
    </xf>
    <xf numFmtId="0" fontId="39" fillId="0" borderId="8" xfId="4" applyFont="1" applyBorder="1" applyAlignment="1" applyProtection="1">
      <alignment vertical="center" shrinkToFit="1"/>
      <protection locked="0"/>
    </xf>
    <xf numFmtId="0" fontId="39" fillId="0" borderId="0" xfId="4" applyFont="1" applyAlignment="1" applyProtection="1">
      <alignment vertical="center" shrinkToFit="1"/>
      <protection locked="0"/>
    </xf>
    <xf numFmtId="0" fontId="39" fillId="0" borderId="38" xfId="4" applyFont="1" applyBorder="1" applyAlignment="1" applyProtection="1">
      <alignment vertical="center" shrinkToFit="1"/>
      <protection locked="0"/>
    </xf>
    <xf numFmtId="0" fontId="39" fillId="0" borderId="5" xfId="4" applyFont="1" applyBorder="1" applyAlignment="1" applyProtection="1">
      <alignment vertical="center" shrinkToFit="1"/>
      <protection locked="0"/>
    </xf>
    <xf numFmtId="0" fontId="39" fillId="0" borderId="36" xfId="4" applyFont="1" applyBorder="1" applyAlignment="1" applyProtection="1">
      <alignment vertical="center" shrinkToFit="1"/>
      <protection locked="0"/>
    </xf>
    <xf numFmtId="0" fontId="39" fillId="0" borderId="54" xfId="4" applyFont="1" applyBorder="1" applyAlignment="1" applyProtection="1">
      <alignment vertical="center" shrinkToFit="1"/>
      <protection locked="0"/>
    </xf>
    <xf numFmtId="0" fontId="29" fillId="0" borderId="60" xfId="4" applyFont="1" applyBorder="1" applyAlignment="1" applyProtection="1">
      <alignment horizontal="center" vertical="center" shrinkToFit="1"/>
      <protection locked="0"/>
    </xf>
    <xf numFmtId="0" fontId="29" fillId="0" borderId="56" xfId="4" applyFont="1" applyBorder="1" applyAlignment="1" applyProtection="1">
      <alignment horizontal="center" vertical="center" shrinkToFit="1"/>
      <protection locked="0"/>
    </xf>
    <xf numFmtId="0" fontId="29" fillId="0" borderId="213" xfId="4" applyFont="1" applyBorder="1" applyAlignment="1" applyProtection="1">
      <alignment horizontal="center" vertical="center" shrinkToFit="1"/>
      <protection locked="0"/>
    </xf>
    <xf numFmtId="0" fontId="29" fillId="0" borderId="57" xfId="4" applyFont="1" applyBorder="1" applyAlignment="1" applyProtection="1">
      <alignment horizontal="center" vertical="center" shrinkToFit="1"/>
      <protection locked="0"/>
    </xf>
    <xf numFmtId="0" fontId="34" fillId="7" borderId="33" xfId="5" applyNumberFormat="1" applyFont="1" applyFill="1" applyBorder="1" applyAlignment="1" applyProtection="1">
      <alignment horizontal="center" vertical="center" wrapText="1"/>
    </xf>
    <xf numFmtId="0" fontId="34" fillId="7" borderId="0" xfId="5" applyNumberFormat="1" applyFont="1" applyFill="1" applyBorder="1" applyAlignment="1" applyProtection="1">
      <alignment horizontal="center" vertical="center" wrapText="1"/>
    </xf>
    <xf numFmtId="0" fontId="34" fillId="7" borderId="38" xfId="5" applyNumberFormat="1" applyFont="1" applyFill="1" applyBorder="1" applyAlignment="1" applyProtection="1">
      <alignment horizontal="center" vertical="center" wrapText="1"/>
    </xf>
    <xf numFmtId="0" fontId="34" fillId="7" borderId="39" xfId="5" applyNumberFormat="1" applyFont="1" applyFill="1" applyBorder="1" applyAlignment="1" applyProtection="1">
      <alignment horizontal="center" vertical="center" wrapText="1"/>
    </xf>
    <xf numFmtId="0" fontId="34" fillId="7" borderId="40" xfId="5" applyNumberFormat="1" applyFont="1" applyFill="1" applyBorder="1" applyAlignment="1" applyProtection="1">
      <alignment horizontal="center" vertical="center" wrapText="1"/>
    </xf>
    <xf numFmtId="0" fontId="34" fillId="7" borderId="41" xfId="5" applyNumberFormat="1" applyFont="1" applyFill="1" applyBorder="1" applyAlignment="1" applyProtection="1">
      <alignment horizontal="center" vertical="center" wrapText="1"/>
    </xf>
    <xf numFmtId="0" fontId="34" fillId="0" borderId="34" xfId="4" applyFont="1" applyBorder="1" applyAlignment="1">
      <alignment horizontal="left" vertical="center" wrapText="1"/>
    </xf>
    <xf numFmtId="0" fontId="34" fillId="0" borderId="40" xfId="4" applyFont="1" applyBorder="1" applyAlignment="1">
      <alignment horizontal="left" vertical="center" wrapText="1"/>
    </xf>
    <xf numFmtId="0" fontId="34" fillId="0" borderId="43" xfId="4" applyFont="1" applyBorder="1" applyAlignment="1">
      <alignment horizontal="left" vertical="center" wrapText="1"/>
    </xf>
    <xf numFmtId="0" fontId="34" fillId="0" borderId="194" xfId="4" applyFont="1" applyBorder="1" applyAlignment="1">
      <alignment horizontal="left" vertical="center" shrinkToFit="1"/>
    </xf>
    <xf numFmtId="49" fontId="30" fillId="0" borderId="56" xfId="4" applyNumberFormat="1" applyFont="1" applyBorder="1" applyAlignment="1" applyProtection="1">
      <alignment horizontal="center" vertical="center" shrinkToFit="1"/>
      <protection locked="0"/>
    </xf>
    <xf numFmtId="0" fontId="30" fillId="0" borderId="64" xfId="4" applyFont="1" applyBorder="1" applyAlignment="1">
      <alignment horizontal="center" vertical="center" shrinkToFit="1"/>
    </xf>
    <xf numFmtId="0" fontId="39" fillId="0" borderId="42" xfId="4" applyFont="1" applyBorder="1" applyAlignment="1" applyProtection="1">
      <alignment horizontal="left" vertical="center" shrinkToFit="1"/>
      <protection locked="0"/>
    </xf>
    <xf numFmtId="0" fontId="39" fillId="0" borderId="40" xfId="4" applyFont="1" applyBorder="1" applyAlignment="1" applyProtection="1">
      <alignment horizontal="left" vertical="center" shrinkToFit="1"/>
      <protection locked="0"/>
    </xf>
    <xf numFmtId="0" fontId="39" fillId="0" borderId="43" xfId="4" applyFont="1" applyBorder="1" applyAlignment="1" applyProtection="1">
      <alignment horizontal="left" vertical="center" shrinkToFit="1"/>
      <protection locked="0"/>
    </xf>
    <xf numFmtId="0" fontId="29" fillId="0" borderId="269"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right" vertical="center" shrinkToFit="1"/>
    </xf>
    <xf numFmtId="0" fontId="29" fillId="0" borderId="270" xfId="5" applyNumberFormat="1" applyFont="1" applyBorder="1" applyAlignment="1" applyProtection="1">
      <alignment horizontal="left" vertical="center"/>
    </xf>
    <xf numFmtId="6" fontId="29" fillId="8" borderId="22" xfId="5" applyFont="1" applyFill="1" applyBorder="1" applyAlignment="1" applyProtection="1">
      <alignment horizontal="right" vertical="center" shrinkToFit="1"/>
    </xf>
    <xf numFmtId="6" fontId="29" fillId="8" borderId="20" xfId="5" applyFont="1" applyFill="1" applyBorder="1" applyAlignment="1" applyProtection="1">
      <alignment horizontal="right" vertical="center" shrinkToFit="1"/>
    </xf>
    <xf numFmtId="6" fontId="29" fillId="8" borderId="20" xfId="5" applyFont="1" applyFill="1" applyBorder="1" applyAlignment="1" applyProtection="1">
      <alignment horizontal="left" vertical="center" shrinkToFit="1"/>
    </xf>
    <xf numFmtId="0" fontId="34" fillId="67" borderId="39" xfId="4" applyFont="1" applyFill="1" applyBorder="1" applyAlignment="1">
      <alignment horizontal="center" vertical="center"/>
    </xf>
    <xf numFmtId="0" fontId="34" fillId="67" borderId="40" xfId="4" applyFont="1" applyFill="1" applyBorder="1" applyAlignment="1">
      <alignment horizontal="center" vertical="center"/>
    </xf>
    <xf numFmtId="0" fontId="34" fillId="67" borderId="41" xfId="4" applyFont="1" applyFill="1" applyBorder="1" applyAlignment="1">
      <alignment horizontal="center" vertical="center"/>
    </xf>
    <xf numFmtId="0" fontId="30" fillId="68" borderId="40" xfId="4" applyFont="1" applyFill="1" applyBorder="1" applyAlignment="1">
      <alignment horizontal="left" vertical="center"/>
    </xf>
    <xf numFmtId="0" fontId="30" fillId="68" borderId="41" xfId="4" applyFont="1" applyFill="1" applyBorder="1" applyAlignment="1">
      <alignment horizontal="left" vertical="center"/>
    </xf>
    <xf numFmtId="0" fontId="30" fillId="16" borderId="42" xfId="4" applyFont="1" applyFill="1" applyBorder="1" applyAlignment="1">
      <alignment horizontal="left" vertical="center"/>
    </xf>
    <xf numFmtId="0" fontId="30" fillId="16" borderId="40" xfId="4" applyFont="1" applyFill="1" applyBorder="1" applyAlignment="1">
      <alignment horizontal="left" vertical="center"/>
    </xf>
    <xf numFmtId="0" fontId="30" fillId="16" borderId="43" xfId="4" applyFont="1" applyFill="1" applyBorder="1" applyAlignment="1">
      <alignment horizontal="left" vertical="center"/>
    </xf>
    <xf numFmtId="0" fontId="34" fillId="0" borderId="282" xfId="4" applyFont="1" applyBorder="1" applyAlignment="1">
      <alignment horizontal="center" vertical="center" shrinkToFit="1"/>
    </xf>
    <xf numFmtId="0" fontId="34" fillId="0" borderId="273" xfId="4" applyFont="1" applyBorder="1" applyAlignment="1">
      <alignment horizontal="center" vertical="center" shrinkToFit="1"/>
    </xf>
    <xf numFmtId="0" fontId="34" fillId="0" borderId="33" xfId="4" applyFont="1" applyBorder="1" applyAlignment="1">
      <alignment horizontal="center" vertical="center" shrinkToFit="1"/>
    </xf>
    <xf numFmtId="0" fontId="34" fillId="0" borderId="0" xfId="4" applyFont="1" applyAlignment="1">
      <alignment horizontal="center" vertical="center" shrinkToFit="1"/>
    </xf>
    <xf numFmtId="0" fontId="34" fillId="0" borderId="39" xfId="4" applyFont="1" applyBorder="1" applyAlignment="1">
      <alignment horizontal="center" vertical="center" shrinkToFit="1"/>
    </xf>
    <xf numFmtId="0" fontId="34" fillId="0" borderId="40" xfId="4" applyFont="1" applyBorder="1" applyAlignment="1">
      <alignment horizontal="center" vertical="center" shrinkToFit="1"/>
    </xf>
    <xf numFmtId="0" fontId="36" fillId="0" borderId="336" xfId="4" applyFont="1" applyBorder="1" applyAlignment="1">
      <alignment horizontal="center" vertical="center" shrinkToFit="1"/>
    </xf>
    <xf numFmtId="0" fontId="36" fillId="0" borderId="42" xfId="4" applyFont="1" applyBorder="1" applyAlignment="1">
      <alignment horizontal="center" vertical="center" shrinkToFit="1"/>
    </xf>
    <xf numFmtId="6" fontId="36" fillId="0" borderId="346" xfId="13" applyFont="1" applyFill="1" applyBorder="1" applyAlignment="1" applyProtection="1">
      <alignment horizontal="right" vertical="center" shrinkToFit="1"/>
    </xf>
    <xf numFmtId="6" fontId="36" fillId="0" borderId="148" xfId="13" applyFont="1" applyFill="1" applyBorder="1" applyAlignment="1" applyProtection="1">
      <alignment horizontal="right" vertical="center" shrinkToFit="1"/>
    </xf>
    <xf numFmtId="6" fontId="36" fillId="0" borderId="66" xfId="13" applyFont="1" applyFill="1" applyBorder="1" applyAlignment="1" applyProtection="1">
      <alignment horizontal="right" vertical="center" shrinkToFit="1"/>
    </xf>
    <xf numFmtId="0" fontId="30" fillId="0" borderId="270" xfId="4" applyFont="1" applyBorder="1" applyAlignment="1">
      <alignment horizontal="center" vertical="center"/>
    </xf>
    <xf numFmtId="0" fontId="30" fillId="0" borderId="271" xfId="4" applyFont="1" applyBorder="1" applyAlignment="1">
      <alignment horizontal="center" vertical="center"/>
    </xf>
    <xf numFmtId="0" fontId="30" fillId="0" borderId="323" xfId="4" applyFont="1" applyBorder="1" applyAlignment="1" applyProtection="1">
      <alignment horizontal="center" vertical="center"/>
      <protection locked="0"/>
    </xf>
    <xf numFmtId="0" fontId="30" fillId="0" borderId="324" xfId="4" applyFont="1" applyBorder="1" applyAlignment="1" applyProtection="1">
      <alignment horizontal="center" vertical="center"/>
      <protection locked="0"/>
    </xf>
    <xf numFmtId="0" fontId="34" fillId="0" borderId="0" xfId="4" applyFont="1" applyAlignment="1" applyProtection="1">
      <alignment horizontal="center" vertical="center"/>
      <protection locked="0"/>
    </xf>
    <xf numFmtId="0" fontId="34" fillId="2" borderId="4" xfId="4" applyFont="1" applyFill="1" applyBorder="1" applyAlignment="1">
      <alignment horizontal="left" vertical="center" wrapText="1" shrinkToFit="1"/>
    </xf>
    <xf numFmtId="0" fontId="34" fillId="2" borderId="200" xfId="4" applyFont="1" applyFill="1" applyBorder="1" applyAlignment="1">
      <alignment horizontal="left" vertical="center" wrapText="1" shrinkToFit="1"/>
    </xf>
    <xf numFmtId="0" fontId="34" fillId="2" borderId="2" xfId="4" applyFont="1" applyFill="1" applyBorder="1" applyAlignment="1">
      <alignment horizontal="left" vertical="center" wrapText="1" shrinkToFit="1"/>
    </xf>
    <xf numFmtId="0" fontId="34" fillId="0" borderId="200" xfId="4" applyFont="1" applyBorder="1" applyAlignment="1" applyProtection="1">
      <alignment horizontal="center" vertical="center"/>
      <protection locked="0"/>
    </xf>
    <xf numFmtId="6" fontId="34" fillId="0" borderId="253" xfId="5" applyFont="1" applyBorder="1" applyAlignment="1" applyProtection="1">
      <alignment horizontal="right" vertical="center" shrinkToFit="1"/>
      <protection locked="0"/>
    </xf>
    <xf numFmtId="6" fontId="34" fillId="0" borderId="254" xfId="5" applyFont="1" applyBorder="1" applyAlignment="1" applyProtection="1">
      <alignment horizontal="right" vertical="center" shrinkToFit="1"/>
      <protection locked="0"/>
    </xf>
    <xf numFmtId="6" fontId="34" fillId="0" borderId="10" xfId="5" applyFont="1" applyBorder="1" applyAlignment="1" applyProtection="1">
      <alignment horizontal="right" vertical="center" shrinkToFit="1"/>
      <protection locked="0"/>
    </xf>
    <xf numFmtId="6" fontId="34" fillId="0" borderId="255" xfId="5" applyFont="1" applyBorder="1" applyAlignment="1" applyProtection="1">
      <alignment horizontal="right" vertical="center" shrinkToFit="1"/>
      <protection locked="0"/>
    </xf>
    <xf numFmtId="6" fontId="34" fillId="0" borderId="251" xfId="5" applyFont="1" applyBorder="1" applyAlignment="1" applyProtection="1">
      <alignment horizontal="right" vertical="center" shrinkToFit="1"/>
      <protection locked="0"/>
    </xf>
    <xf numFmtId="6" fontId="34" fillId="0" borderId="6" xfId="5" applyFont="1" applyBorder="1" applyAlignment="1" applyProtection="1">
      <alignment horizontal="right" vertical="center" shrinkToFit="1"/>
      <protection locked="0"/>
    </xf>
    <xf numFmtId="6" fontId="34" fillId="0" borderId="106" xfId="5" applyFont="1" applyBorder="1" applyAlignment="1" applyProtection="1">
      <alignment horizontal="right" vertical="center" shrinkToFit="1"/>
      <protection locked="0"/>
    </xf>
    <xf numFmtId="6" fontId="60" fillId="0" borderId="36" xfId="5" applyFont="1" applyBorder="1" applyAlignment="1" applyProtection="1">
      <alignment horizontal="center" vertical="center" shrinkToFit="1"/>
    </xf>
    <xf numFmtId="5" fontId="34" fillId="0" borderId="76" xfId="5" applyNumberFormat="1" applyFont="1" applyBorder="1" applyAlignment="1" applyProtection="1">
      <alignment horizontal="right" vertical="center" shrinkToFit="1"/>
      <protection locked="0"/>
    </xf>
    <xf numFmtId="5" fontId="34" fillId="0" borderId="1" xfId="5" applyNumberFormat="1" applyFont="1" applyBorder="1" applyAlignment="1" applyProtection="1">
      <alignment horizontal="right" vertical="center" shrinkToFit="1"/>
      <protection locked="0"/>
    </xf>
    <xf numFmtId="0" fontId="34" fillId="0" borderId="76" xfId="6" applyNumberFormat="1" applyFont="1" applyBorder="1" applyAlignment="1" applyProtection="1">
      <alignment horizontal="right" vertical="center" shrinkToFit="1"/>
      <protection locked="0"/>
    </xf>
    <xf numFmtId="0" fontId="34" fillId="0" borderId="200" xfId="6" applyNumberFormat="1" applyFont="1" applyBorder="1" applyAlignment="1" applyProtection="1">
      <alignment horizontal="right" vertical="center" shrinkToFit="1"/>
      <protection locked="0"/>
    </xf>
    <xf numFmtId="6" fontId="34" fillId="0" borderId="1" xfId="6" applyNumberFormat="1" applyFont="1" applyBorder="1" applyAlignment="1" applyProtection="1">
      <alignment horizontal="right" vertical="center" shrinkToFit="1"/>
      <protection locked="0"/>
    </xf>
    <xf numFmtId="6" fontId="34" fillId="0" borderId="2" xfId="6" applyNumberFormat="1" applyFont="1" applyBorder="1" applyAlignment="1" applyProtection="1">
      <alignment horizontal="right" vertical="center" shrinkToFit="1"/>
      <protection locked="0"/>
    </xf>
    <xf numFmtId="0" fontId="34" fillId="0" borderId="192" xfId="4" applyFont="1" applyBorder="1" applyAlignment="1">
      <alignment horizontal="left" vertical="center" indent="1"/>
    </xf>
    <xf numFmtId="0" fontId="34" fillId="0" borderId="200" xfId="4" applyFont="1" applyBorder="1" applyAlignment="1">
      <alignment horizontal="left" vertical="center" indent="1"/>
    </xf>
    <xf numFmtId="0" fontId="34" fillId="0" borderId="77" xfId="4" applyFont="1" applyBorder="1" applyAlignment="1">
      <alignment horizontal="left" vertical="center" indent="1"/>
    </xf>
    <xf numFmtId="0" fontId="30" fillId="0" borderId="309" xfId="4" applyFont="1" applyBorder="1" applyAlignment="1" applyProtection="1">
      <alignment horizontal="center" vertical="center"/>
      <protection locked="0"/>
    </xf>
    <xf numFmtId="0" fontId="34" fillId="0" borderId="274" xfId="4" applyFont="1" applyBorder="1" applyAlignment="1">
      <alignment horizontal="left" vertical="center" indent="1"/>
    </xf>
    <xf numFmtId="0" fontId="34" fillId="0" borderId="269" xfId="4" applyFont="1" applyBorder="1" applyAlignment="1">
      <alignment horizontal="left" vertical="center" indent="1"/>
    </xf>
    <xf numFmtId="6" fontId="34" fillId="0" borderId="286" xfId="13" applyFont="1" applyFill="1" applyBorder="1" applyAlignment="1" applyProtection="1">
      <alignment horizontal="right" vertical="center"/>
      <protection locked="0"/>
    </xf>
    <xf numFmtId="6" fontId="34" fillId="0" borderId="270" xfId="13" applyFont="1" applyFill="1" applyBorder="1" applyAlignment="1" applyProtection="1">
      <alignment horizontal="right" vertical="center"/>
      <protection locked="0"/>
    </xf>
    <xf numFmtId="0" fontId="34" fillId="0" borderId="148" xfId="4" applyFont="1" applyBorder="1" applyAlignment="1">
      <alignment horizontal="left" vertical="center" indent="1"/>
    </xf>
    <xf numFmtId="0" fontId="34" fillId="0" borderId="66" xfId="4" applyFont="1" applyBorder="1" applyAlignment="1">
      <alignment horizontal="left" vertical="center" indent="1"/>
    </xf>
    <xf numFmtId="6" fontId="34" fillId="0" borderId="338" xfId="13" applyFont="1" applyFill="1" applyBorder="1" applyAlignment="1" applyProtection="1">
      <alignment horizontal="right" vertical="center"/>
      <protection locked="0"/>
    </xf>
    <xf numFmtId="6" fontId="34" fillId="0" borderId="285" xfId="13" applyFont="1" applyFill="1" applyBorder="1" applyAlignment="1" applyProtection="1">
      <alignment horizontal="right" vertical="center"/>
      <protection locked="0"/>
    </xf>
    <xf numFmtId="0" fontId="36" fillId="0" borderId="11" xfId="4" applyFont="1" applyBorder="1" applyAlignment="1">
      <alignment horizontal="center" vertical="center" shrinkToFit="1"/>
    </xf>
    <xf numFmtId="0" fontId="36" fillId="0" borderId="5" xfId="4" applyFont="1" applyBorder="1" applyAlignment="1">
      <alignment horizontal="center" vertical="center" shrinkToFit="1"/>
    </xf>
    <xf numFmtId="6" fontId="36" fillId="0" borderId="337" xfId="13" applyFont="1" applyFill="1" applyBorder="1" applyAlignment="1" applyProtection="1">
      <alignment horizontal="right" vertical="center" shrinkToFit="1"/>
    </xf>
    <xf numFmtId="6" fontId="36" fillId="0" borderId="11" xfId="13" applyFont="1" applyFill="1" applyBorder="1" applyAlignment="1" applyProtection="1">
      <alignment horizontal="right" vertical="center" shrinkToFit="1"/>
    </xf>
    <xf numFmtId="6" fontId="36" fillId="0" borderId="5" xfId="13" applyFont="1" applyFill="1" applyBorder="1" applyAlignment="1" applyProtection="1">
      <alignment horizontal="right" vertical="center" shrinkToFit="1"/>
    </xf>
    <xf numFmtId="0" fontId="30" fillId="0" borderId="66" xfId="4" applyFont="1" applyBorder="1" applyAlignment="1">
      <alignment horizontal="left" vertical="center" shrinkToFit="1"/>
    </xf>
    <xf numFmtId="0" fontId="30" fillId="0" borderId="285" xfId="4" applyFont="1" applyBorder="1" applyAlignment="1">
      <alignment horizontal="left" vertical="center" shrinkToFit="1"/>
    </xf>
    <xf numFmtId="0" fontId="30" fillId="0" borderId="290" xfId="4" applyFont="1" applyBorder="1" applyAlignment="1">
      <alignment horizontal="left" vertical="center" shrinkToFit="1"/>
    </xf>
    <xf numFmtId="0" fontId="30" fillId="0" borderId="40" xfId="5" applyNumberFormat="1" applyFont="1" applyBorder="1" applyAlignment="1" applyProtection="1">
      <alignment horizontal="left" vertical="center" shrinkToFit="1"/>
    </xf>
    <xf numFmtId="0" fontId="30" fillId="0" borderId="285" xfId="5" applyNumberFormat="1" applyFont="1" applyBorder="1" applyAlignment="1" applyProtection="1">
      <alignment horizontal="left" vertical="center" shrinkToFit="1"/>
    </xf>
    <xf numFmtId="0" fontId="30" fillId="0" borderId="290" xfId="5" applyNumberFormat="1" applyFont="1" applyBorder="1" applyAlignment="1" applyProtection="1">
      <alignment horizontal="left" vertical="center" shrinkToFit="1"/>
    </xf>
    <xf numFmtId="0" fontId="30" fillId="0" borderId="269" xfId="4" applyFont="1" applyBorder="1" applyAlignment="1">
      <alignment horizontal="center" vertical="center"/>
    </xf>
    <xf numFmtId="6" fontId="34" fillId="0" borderId="1" xfId="6" applyNumberFormat="1" applyFont="1" applyBorder="1" applyAlignment="1" applyProtection="1">
      <alignment horizontal="right" vertical="center" shrinkToFit="1"/>
    </xf>
    <xf numFmtId="6" fontId="34" fillId="0" borderId="2" xfId="6" applyNumberFormat="1" applyFont="1" applyBorder="1" applyAlignment="1" applyProtection="1">
      <alignment horizontal="right" vertical="center" shrinkToFit="1"/>
    </xf>
    <xf numFmtId="0" fontId="34" fillId="0" borderId="270" xfId="4" applyFont="1" applyBorder="1" applyAlignment="1">
      <alignment horizontal="left" vertical="center"/>
    </xf>
    <xf numFmtId="0" fontId="34" fillId="19" borderId="152" xfId="4" applyFont="1" applyFill="1" applyBorder="1" applyAlignment="1">
      <alignment horizontal="center" vertical="center" shrinkToFit="1"/>
    </xf>
    <xf numFmtId="0" fontId="34" fillId="19" borderId="153" xfId="4" applyFont="1" applyFill="1" applyBorder="1" applyAlignment="1">
      <alignment horizontal="center" vertical="center" shrinkToFit="1"/>
    </xf>
    <xf numFmtId="0" fontId="34" fillId="19" borderId="154" xfId="4" applyFont="1" applyFill="1" applyBorder="1" applyAlignment="1">
      <alignment horizontal="center" vertical="center" shrinkToFit="1"/>
    </xf>
    <xf numFmtId="49" fontId="30" fillId="0" borderId="274" xfId="4" applyNumberFormat="1" applyFont="1" applyBorder="1" applyAlignment="1" applyProtection="1">
      <alignment horizontal="left" vertical="center"/>
      <protection locked="0"/>
    </xf>
    <xf numFmtId="0" fontId="34" fillId="0" borderId="273" xfId="4" applyFont="1" applyBorder="1" applyAlignment="1">
      <alignment horizontal="left" vertical="center"/>
    </xf>
    <xf numFmtId="0" fontId="34" fillId="0" borderId="3" xfId="4" applyFont="1" applyBorder="1" applyAlignment="1" applyProtection="1">
      <alignment horizontal="left" vertical="center" shrinkToFit="1"/>
      <protection locked="0"/>
    </xf>
    <xf numFmtId="0" fontId="34" fillId="0" borderId="1" xfId="4" applyFont="1" applyBorder="1" applyAlignment="1" applyProtection="1">
      <alignment horizontal="left" vertical="center" shrinkToFit="1"/>
      <protection locked="0"/>
    </xf>
    <xf numFmtId="0" fontId="34" fillId="0" borderId="77" xfId="4" applyFont="1" applyBorder="1" applyAlignment="1" applyProtection="1">
      <alignment horizontal="left" vertical="center" shrinkToFit="1"/>
      <protection locked="0"/>
    </xf>
    <xf numFmtId="0" fontId="36" fillId="0" borderId="3" xfId="4" applyFont="1" applyBorder="1" applyAlignment="1">
      <alignment horizontal="right" vertical="center" wrapText="1"/>
    </xf>
    <xf numFmtId="0" fontId="36" fillId="0" borderId="1" xfId="4" applyFont="1" applyBorder="1" applyAlignment="1">
      <alignment horizontal="right" vertical="center" wrapText="1"/>
    </xf>
    <xf numFmtId="0" fontId="36" fillId="0" borderId="270" xfId="4" applyFont="1" applyBorder="1" applyAlignment="1">
      <alignment horizontal="right" vertical="center" wrapText="1"/>
    </xf>
    <xf numFmtId="0" fontId="34" fillId="0" borderId="19" xfId="5" applyNumberFormat="1" applyFont="1" applyBorder="1" applyAlignment="1" applyProtection="1">
      <alignment horizontal="right" vertical="center" shrinkToFit="1"/>
    </xf>
    <xf numFmtId="0" fontId="34" fillId="0" borderId="20" xfId="5" applyNumberFormat="1" applyFont="1" applyBorder="1" applyAlignment="1" applyProtection="1">
      <alignment horizontal="right" vertical="center" shrinkToFit="1"/>
    </xf>
    <xf numFmtId="6" fontId="36" fillId="0" borderId="20" xfId="6" applyNumberFormat="1" applyFont="1" applyBorder="1" applyAlignment="1" applyProtection="1">
      <alignment horizontal="right" vertical="center" shrinkToFit="1"/>
    </xf>
    <xf numFmtId="6" fontId="36" fillId="0" borderId="21" xfId="6" applyNumberFormat="1" applyFont="1" applyBorder="1" applyAlignment="1" applyProtection="1">
      <alignment horizontal="right" vertical="center" shrinkToFit="1"/>
    </xf>
    <xf numFmtId="0" fontId="34" fillId="0" borderId="192" xfId="4" applyFont="1" applyBorder="1" applyAlignment="1" applyProtection="1">
      <alignment horizontal="left" vertical="center" indent="1"/>
      <protection locked="0"/>
    </xf>
    <xf numFmtId="0" fontId="34" fillId="0" borderId="200" xfId="4" applyFont="1" applyBorder="1" applyAlignment="1" applyProtection="1">
      <alignment horizontal="left" vertical="center" indent="1"/>
      <protection locked="0"/>
    </xf>
    <xf numFmtId="0" fontId="34" fillId="0" borderId="77" xfId="4" applyFont="1" applyBorder="1" applyAlignment="1" applyProtection="1">
      <alignment horizontal="left" vertical="center" indent="1"/>
      <protection locked="0"/>
    </xf>
    <xf numFmtId="0" fontId="138" fillId="0" borderId="19" xfId="4" applyFont="1" applyBorder="1" applyAlignment="1">
      <alignment horizontal="center" vertical="center" shrinkToFit="1"/>
    </xf>
    <xf numFmtId="0" fontId="138" fillId="0" borderId="20" xfId="4" applyFont="1" applyBorder="1" applyAlignment="1">
      <alignment horizontal="center" vertical="center" shrinkToFit="1"/>
    </xf>
    <xf numFmtId="0" fontId="139" fillId="0" borderId="20" xfId="4" applyFont="1" applyBorder="1" applyAlignment="1">
      <alignment horizontal="center" vertical="center" shrinkToFit="1"/>
    </xf>
    <xf numFmtId="0" fontId="34" fillId="0" borderId="89" xfId="4" applyFont="1" applyBorder="1" applyAlignment="1">
      <alignment horizontal="center" vertical="center" wrapText="1"/>
    </xf>
    <xf numFmtId="0" fontId="34" fillId="0" borderId="0" xfId="4" applyFont="1" applyAlignment="1">
      <alignment horizontal="center" vertical="center" wrapText="1"/>
    </xf>
    <xf numFmtId="0" fontId="34" fillId="0" borderId="34" xfId="4" applyFont="1" applyBorder="1" applyAlignment="1">
      <alignment horizontal="center" vertical="center" wrapText="1"/>
    </xf>
    <xf numFmtId="0" fontId="34" fillId="0" borderId="93" xfId="4" applyFont="1" applyBorder="1" applyAlignment="1">
      <alignment horizontal="center" vertical="center" wrapText="1"/>
    </xf>
    <xf numFmtId="0" fontId="34" fillId="0" borderId="36" xfId="4" applyFont="1" applyBorder="1" applyAlignment="1">
      <alignment horizontal="center" vertical="center" wrapText="1"/>
    </xf>
    <xf numFmtId="0" fontId="34" fillId="0" borderId="37" xfId="4" applyFont="1" applyBorder="1" applyAlignment="1">
      <alignment horizontal="center" vertical="center" wrapText="1"/>
    </xf>
    <xf numFmtId="0" fontId="34" fillId="23" borderId="201" xfId="4" applyFont="1" applyFill="1" applyBorder="1" applyAlignment="1">
      <alignment horizontal="center" vertical="center" wrapText="1" shrinkToFit="1"/>
    </xf>
    <xf numFmtId="0" fontId="34" fillId="23" borderId="194" xfId="4" applyFont="1" applyFill="1" applyBorder="1" applyAlignment="1">
      <alignment horizontal="center" vertical="center" wrapText="1" shrinkToFit="1"/>
    </xf>
    <xf numFmtId="0" fontId="34" fillId="23" borderId="195" xfId="4" applyFont="1" applyFill="1" applyBorder="1" applyAlignment="1">
      <alignment horizontal="center" vertical="center" wrapText="1" shrinkToFit="1"/>
    </xf>
    <xf numFmtId="0" fontId="34" fillId="23" borderId="33" xfId="4" applyFont="1" applyFill="1" applyBorder="1" applyAlignment="1">
      <alignment horizontal="center" vertical="center" wrapText="1" shrinkToFit="1"/>
    </xf>
    <xf numFmtId="0" fontId="34" fillId="23" borderId="0" xfId="4" applyFont="1" applyFill="1" applyAlignment="1">
      <alignment horizontal="center" vertical="center" wrapText="1" shrinkToFit="1"/>
    </xf>
    <xf numFmtId="0" fontId="34" fillId="23" borderId="38" xfId="4" applyFont="1" applyFill="1" applyBorder="1" applyAlignment="1">
      <alignment horizontal="center" vertical="center" wrapText="1" shrinkToFit="1"/>
    </xf>
    <xf numFmtId="0" fontId="34" fillId="23" borderId="35" xfId="4" applyFont="1" applyFill="1" applyBorder="1" applyAlignment="1">
      <alignment horizontal="center" vertical="center" wrapText="1" shrinkToFit="1"/>
    </xf>
    <xf numFmtId="0" fontId="34" fillId="23" borderId="36" xfId="4" applyFont="1" applyFill="1" applyBorder="1" applyAlignment="1">
      <alignment horizontal="center" vertical="center" wrapText="1" shrinkToFit="1"/>
    </xf>
    <xf numFmtId="0" fontId="34" fillId="23" borderId="54" xfId="4" applyFont="1" applyFill="1" applyBorder="1" applyAlignment="1">
      <alignment horizontal="center" vertical="center" wrapText="1" shrinkToFit="1"/>
    </xf>
    <xf numFmtId="0" fontId="34" fillId="63" borderId="194" xfId="4" applyFont="1" applyFill="1" applyBorder="1" applyAlignment="1">
      <alignment horizontal="center" vertical="center" wrapText="1" shrinkToFit="1"/>
    </xf>
    <xf numFmtId="0" fontId="34" fillId="63" borderId="0" xfId="4" applyFont="1" applyFill="1" applyAlignment="1">
      <alignment horizontal="center" vertical="center" wrapText="1" shrinkToFit="1"/>
    </xf>
    <xf numFmtId="0" fontId="34" fillId="63" borderId="36" xfId="4" applyFont="1" applyFill="1" applyBorder="1" applyAlignment="1">
      <alignment horizontal="center" vertical="center" wrapText="1" shrinkToFit="1"/>
    </xf>
    <xf numFmtId="0" fontId="34" fillId="0" borderId="97" xfId="4" applyFont="1" applyBorder="1" applyAlignment="1">
      <alignment horizontal="center" vertical="center" wrapText="1"/>
    </xf>
    <xf numFmtId="0" fontId="34" fillId="0" borderId="194" xfId="4" applyFont="1" applyBorder="1" applyAlignment="1">
      <alignment horizontal="center" vertical="center" wrapText="1"/>
    </xf>
    <xf numFmtId="0" fontId="34" fillId="0" borderId="195" xfId="4" applyFont="1" applyBorder="1" applyAlignment="1">
      <alignment horizontal="center" vertical="center" wrapText="1"/>
    </xf>
    <xf numFmtId="0" fontId="34" fillId="0" borderId="38" xfId="4" applyFont="1" applyBorder="1" applyAlignment="1">
      <alignment horizontal="center" vertical="center" wrapText="1"/>
    </xf>
    <xf numFmtId="0" fontId="34" fillId="0" borderId="54" xfId="4" applyFont="1" applyBorder="1" applyAlignment="1">
      <alignment horizontal="center" vertical="center" wrapText="1"/>
    </xf>
    <xf numFmtId="10" fontId="34" fillId="0" borderId="97" xfId="6" applyNumberFormat="1" applyFont="1" applyBorder="1" applyAlignment="1" applyProtection="1">
      <alignment horizontal="center" vertical="center" wrapText="1"/>
    </xf>
    <xf numFmtId="10" fontId="34" fillId="0" borderId="194" xfId="6" applyNumberFormat="1" applyFont="1" applyBorder="1" applyAlignment="1" applyProtection="1">
      <alignment horizontal="center" vertical="center" wrapText="1"/>
    </xf>
    <xf numFmtId="10" fontId="34" fillId="0" borderId="195" xfId="6" applyNumberFormat="1" applyFont="1" applyBorder="1" applyAlignment="1" applyProtection="1">
      <alignment horizontal="center" vertical="center" wrapText="1"/>
    </xf>
    <xf numFmtId="10" fontId="34" fillId="0" borderId="89" xfId="6" applyNumberFormat="1" applyFont="1" applyBorder="1" applyAlignment="1" applyProtection="1">
      <alignment horizontal="center" vertical="center" wrapText="1"/>
    </xf>
    <xf numFmtId="10" fontId="34" fillId="0" borderId="0" xfId="6" applyNumberFormat="1" applyFont="1" applyBorder="1" applyAlignment="1" applyProtection="1">
      <alignment horizontal="center" vertical="center" wrapText="1"/>
    </xf>
    <xf numFmtId="10" fontId="34" fillId="0" borderId="38" xfId="6" applyNumberFormat="1" applyFont="1" applyBorder="1" applyAlignment="1" applyProtection="1">
      <alignment horizontal="center" vertical="center" wrapText="1"/>
    </xf>
    <xf numFmtId="10" fontId="34" fillId="0" borderId="93" xfId="6" applyNumberFormat="1" applyFont="1" applyBorder="1" applyAlignment="1" applyProtection="1">
      <alignment horizontal="center" vertical="center" wrapText="1"/>
    </xf>
    <xf numFmtId="10" fontId="34" fillId="0" borderId="36" xfId="6" applyNumberFormat="1" applyFont="1" applyBorder="1" applyAlignment="1" applyProtection="1">
      <alignment horizontal="center" vertical="center" wrapText="1"/>
    </xf>
    <xf numFmtId="10" fontId="34" fillId="0" borderId="54" xfId="6" applyNumberFormat="1" applyFont="1" applyBorder="1" applyAlignment="1" applyProtection="1">
      <alignment horizontal="center" vertical="center" wrapText="1"/>
    </xf>
    <xf numFmtId="0" fontId="34" fillId="0" borderId="202" xfId="4" applyFont="1" applyBorder="1" applyAlignment="1">
      <alignment horizontal="left" vertical="center"/>
    </xf>
    <xf numFmtId="0" fontId="34" fillId="0" borderId="274" xfId="4" applyFont="1" applyBorder="1" applyAlignment="1">
      <alignment horizontal="left" vertical="center"/>
    </xf>
    <xf numFmtId="0" fontId="34" fillId="0" borderId="309" xfId="4" applyFont="1" applyBorder="1" applyAlignment="1">
      <alignment horizontal="left" vertical="center"/>
    </xf>
    <xf numFmtId="0" fontId="34" fillId="0" borderId="99" xfId="4" applyFont="1" applyBorder="1" applyAlignment="1">
      <alignment horizontal="left" vertical="center"/>
    </xf>
    <xf numFmtId="0" fontId="34" fillId="0" borderId="271" xfId="4" applyFont="1" applyBorder="1" applyAlignment="1">
      <alignment horizontal="left" vertical="center"/>
    </xf>
    <xf numFmtId="0" fontId="34" fillId="0" borderId="269" xfId="4" applyFont="1" applyBorder="1" applyAlignment="1">
      <alignment horizontal="left" vertical="center"/>
    </xf>
    <xf numFmtId="0" fontId="34" fillId="0" borderId="307" xfId="4" applyFont="1" applyBorder="1" applyAlignment="1">
      <alignment horizontal="left" vertical="center"/>
    </xf>
    <xf numFmtId="0" fontId="34" fillId="0" borderId="42" xfId="4" applyFont="1" applyBorder="1" applyAlignment="1">
      <alignment horizontal="left" vertical="center"/>
    </xf>
    <xf numFmtId="0" fontId="34" fillId="0" borderId="66" xfId="4" applyFont="1" applyBorder="1" applyAlignment="1">
      <alignment horizontal="center" vertical="center"/>
    </xf>
    <xf numFmtId="0" fontId="34" fillId="0" borderId="285" xfId="4" applyFont="1" applyBorder="1" applyAlignment="1">
      <alignment horizontal="center" vertical="center"/>
    </xf>
    <xf numFmtId="0" fontId="34" fillId="0" borderId="306" xfId="4" applyFont="1" applyBorder="1" applyAlignment="1">
      <alignment horizontal="center" vertical="center"/>
    </xf>
    <xf numFmtId="0" fontId="34" fillId="0" borderId="245" xfId="13" applyNumberFormat="1" applyFont="1" applyFill="1" applyBorder="1" applyAlignment="1" applyProtection="1">
      <alignment horizontal="left" vertical="center"/>
    </xf>
    <xf numFmtId="0" fontId="34" fillId="0" borderId="256" xfId="13" applyNumberFormat="1" applyFont="1" applyFill="1" applyBorder="1" applyAlignment="1" applyProtection="1">
      <alignment horizontal="left" vertical="center"/>
    </xf>
    <xf numFmtId="0" fontId="34" fillId="0" borderId="257" xfId="4" applyFont="1" applyBorder="1" applyAlignment="1">
      <alignment horizontal="left" vertical="center"/>
    </xf>
    <xf numFmtId="0" fontId="34" fillId="0" borderId="245" xfId="4" applyFont="1" applyBorder="1" applyAlignment="1">
      <alignment horizontal="left" vertical="center"/>
    </xf>
    <xf numFmtId="0" fontId="34" fillId="0" borderId="343" xfId="4" applyFont="1" applyBorder="1" applyAlignment="1">
      <alignment horizontal="left" vertical="center"/>
    </xf>
    <xf numFmtId="0" fontId="34" fillId="0" borderId="285" xfId="4" applyFont="1" applyBorder="1" applyAlignment="1">
      <alignment horizontal="left" vertical="center"/>
    </xf>
    <xf numFmtId="0" fontId="34" fillId="0" borderId="290" xfId="4" applyFont="1" applyBorder="1" applyAlignment="1">
      <alignment horizontal="left" vertical="center"/>
    </xf>
    <xf numFmtId="0" fontId="34" fillId="0" borderId="275" xfId="4" applyFont="1" applyBorder="1" applyAlignment="1">
      <alignment horizontal="left" vertical="center"/>
    </xf>
    <xf numFmtId="0" fontId="34" fillId="7" borderId="3" xfId="4" applyFont="1" applyFill="1" applyBorder="1" applyAlignment="1">
      <alignment horizontal="center" vertical="center"/>
    </xf>
    <xf numFmtId="0" fontId="34" fillId="19" borderId="274" xfId="4" applyFont="1" applyFill="1" applyBorder="1" applyAlignment="1">
      <alignment horizontal="center" vertical="center"/>
    </xf>
    <xf numFmtId="0" fontId="34" fillId="19" borderId="270" xfId="4" applyFont="1" applyFill="1" applyBorder="1" applyAlignment="1">
      <alignment horizontal="center" vertical="center"/>
    </xf>
    <xf numFmtId="0" fontId="34" fillId="19" borderId="271" xfId="4" applyFont="1" applyFill="1" applyBorder="1" applyAlignment="1">
      <alignment horizontal="center" vertical="center"/>
    </xf>
    <xf numFmtId="0" fontId="131" fillId="0" borderId="40" xfId="4" applyFont="1" applyBorder="1" applyAlignment="1">
      <alignment horizontal="left" vertical="center" shrinkToFit="1"/>
    </xf>
    <xf numFmtId="0" fontId="131" fillId="0" borderId="43" xfId="4" applyFont="1" applyBorder="1" applyAlignment="1">
      <alignment horizontal="left" vertical="center" shrinkToFit="1"/>
    </xf>
    <xf numFmtId="49" fontId="30" fillId="0" borderId="143" xfId="4" applyNumberFormat="1" applyFont="1" applyBorder="1" applyAlignment="1" applyProtection="1">
      <alignment horizontal="left" vertical="center"/>
      <protection locked="0"/>
    </xf>
    <xf numFmtId="0" fontId="34" fillId="60" borderId="117" xfId="4" applyFont="1" applyFill="1" applyBorder="1" applyAlignment="1">
      <alignment horizontal="center" vertical="center" wrapText="1" shrinkToFit="1"/>
    </xf>
    <xf numFmtId="0" fontId="34" fillId="60" borderId="23" xfId="4" applyFont="1" applyFill="1" applyBorder="1" applyAlignment="1">
      <alignment horizontal="center" vertical="center" wrapText="1" shrinkToFit="1"/>
    </xf>
    <xf numFmtId="0" fontId="34" fillId="60" borderId="151" xfId="4" applyFont="1" applyFill="1" applyBorder="1" applyAlignment="1">
      <alignment horizontal="center" vertical="center" wrapText="1" shrinkToFit="1"/>
    </xf>
    <xf numFmtId="0" fontId="34" fillId="60" borderId="212" xfId="4" applyFont="1" applyFill="1" applyBorder="1" applyAlignment="1">
      <alignment horizontal="center" vertical="center" wrapText="1" shrinkToFit="1"/>
    </xf>
    <xf numFmtId="0" fontId="34" fillId="60" borderId="0" xfId="4" applyFont="1" applyFill="1" applyAlignment="1">
      <alignment horizontal="center" vertical="center" wrapText="1" shrinkToFit="1"/>
    </xf>
    <xf numFmtId="0" fontId="34" fillId="60" borderId="38" xfId="4" applyFont="1" applyFill="1" applyBorder="1" applyAlignment="1">
      <alignment horizontal="center" vertical="center" wrapText="1" shrinkToFit="1"/>
    </xf>
    <xf numFmtId="0" fontId="34" fillId="60" borderId="258" xfId="4" applyFont="1" applyFill="1" applyBorder="1" applyAlignment="1">
      <alignment horizontal="center" vertical="center" wrapText="1" shrinkToFit="1"/>
    </xf>
    <xf numFmtId="0" fontId="34" fillId="60" borderId="157" xfId="4" applyFont="1" applyFill="1" applyBorder="1" applyAlignment="1">
      <alignment horizontal="center" vertical="center" wrapText="1" shrinkToFit="1"/>
    </xf>
    <xf numFmtId="0" fontId="34" fillId="60" borderId="259" xfId="4" applyFont="1" applyFill="1" applyBorder="1" applyAlignment="1">
      <alignment horizontal="center" vertical="center" wrapText="1" shrinkToFit="1"/>
    </xf>
    <xf numFmtId="0" fontId="34" fillId="0" borderId="8" xfId="4" applyFont="1" applyBorder="1" applyAlignment="1">
      <alignment horizontal="center" vertical="center" wrapText="1"/>
    </xf>
    <xf numFmtId="0" fontId="34" fillId="0" borderId="0" xfId="4" applyFont="1" applyAlignment="1">
      <alignment horizontal="center" vertical="center"/>
    </xf>
    <xf numFmtId="0" fontId="34" fillId="0" borderId="38" xfId="4" applyFont="1" applyBorder="1" applyAlignment="1">
      <alignment horizontal="center" vertical="center"/>
    </xf>
    <xf numFmtId="0" fontId="34" fillId="0" borderId="8" xfId="4" applyFont="1" applyBorder="1" applyAlignment="1">
      <alignment horizontal="center" vertical="center"/>
    </xf>
    <xf numFmtId="0" fontId="34" fillId="0" borderId="260" xfId="4" applyFont="1" applyBorder="1" applyAlignment="1">
      <alignment horizontal="center" vertical="center"/>
    </xf>
    <xf numFmtId="0" fontId="34" fillId="0" borderId="157" xfId="4" applyFont="1" applyBorder="1" applyAlignment="1">
      <alignment horizontal="center" vertical="center"/>
    </xf>
    <xf numFmtId="0" fontId="34" fillId="0" borderId="259" xfId="4" applyFont="1" applyBorder="1" applyAlignment="1">
      <alignment horizontal="center" vertical="center"/>
    </xf>
    <xf numFmtId="0" fontId="30" fillId="0" borderId="274" xfId="4" applyFont="1" applyBorder="1" applyAlignment="1">
      <alignment horizontal="left" vertical="center"/>
    </xf>
    <xf numFmtId="0" fontId="30" fillId="0" borderId="143" xfId="4" applyFont="1" applyBorder="1" applyAlignment="1">
      <alignment horizontal="left" vertical="center"/>
    </xf>
    <xf numFmtId="6" fontId="34" fillId="0" borderId="245" xfId="13" applyFont="1" applyFill="1" applyBorder="1" applyAlignment="1" applyProtection="1">
      <alignment horizontal="left" vertical="center"/>
      <protection locked="0"/>
    </xf>
    <xf numFmtId="6" fontId="34" fillId="0" borderId="265" xfId="13" applyFont="1" applyFill="1" applyBorder="1" applyAlignment="1" applyProtection="1">
      <alignment horizontal="left" vertical="center"/>
      <protection locked="0"/>
    </xf>
    <xf numFmtId="0" fontId="34" fillId="0" borderId="69" xfId="4" applyFont="1" applyBorder="1" applyAlignment="1">
      <alignment horizontal="left" vertical="center"/>
    </xf>
    <xf numFmtId="0" fontId="34" fillId="0" borderId="5" xfId="4" applyFont="1" applyBorder="1" applyAlignment="1">
      <alignment horizontal="left" vertical="center"/>
    </xf>
    <xf numFmtId="0" fontId="34" fillId="0" borderId="36" xfId="4" applyFont="1" applyBorder="1" applyAlignment="1">
      <alignment horizontal="left" vertical="center"/>
    </xf>
    <xf numFmtId="0" fontId="34" fillId="0" borderId="92" xfId="4" applyFont="1" applyBorder="1" applyAlignment="1">
      <alignment horizontal="left" vertical="center"/>
    </xf>
    <xf numFmtId="0" fontId="34" fillId="0" borderId="276" xfId="4" applyFont="1" applyBorder="1" applyAlignment="1">
      <alignment horizontal="left" vertical="center"/>
    </xf>
    <xf numFmtId="0" fontId="34" fillId="0" borderId="197" xfId="4" applyFont="1" applyBorder="1" applyAlignment="1">
      <alignment horizontal="left" vertical="center"/>
    </xf>
    <xf numFmtId="0" fontId="34" fillId="0" borderId="82" xfId="4" applyFont="1" applyBorder="1" applyAlignment="1">
      <alignment horizontal="left" vertical="center"/>
    </xf>
    <xf numFmtId="0" fontId="34" fillId="0" borderId="308" xfId="4" applyFont="1" applyBorder="1" applyAlignment="1">
      <alignment horizontal="left" vertical="center"/>
    </xf>
    <xf numFmtId="0" fontId="34" fillId="0" borderId="192" xfId="4" applyFont="1" applyBorder="1" applyAlignment="1" applyProtection="1">
      <alignment horizontal="left" vertical="center" shrinkToFit="1"/>
      <protection locked="0"/>
    </xf>
    <xf numFmtId="0" fontId="34" fillId="0" borderId="200" xfId="4" applyFont="1" applyBorder="1" applyAlignment="1" applyProtection="1">
      <alignment horizontal="left" vertical="center" shrinkToFit="1"/>
      <protection locked="0"/>
    </xf>
    <xf numFmtId="179" fontId="34" fillId="0" borderId="76" xfId="5" applyNumberFormat="1" applyFont="1" applyBorder="1" applyAlignment="1" applyProtection="1">
      <alignment horizontal="right" vertical="center" shrinkToFit="1"/>
    </xf>
    <xf numFmtId="179" fontId="34" fillId="0" borderId="1" xfId="5" applyNumberFormat="1" applyFont="1" applyBorder="1" applyAlignment="1" applyProtection="1">
      <alignment horizontal="right" vertical="center" shrinkToFit="1"/>
    </xf>
    <xf numFmtId="0" fontId="34" fillId="19" borderId="30" xfId="4" applyFont="1" applyFill="1" applyBorder="1" applyAlignment="1">
      <alignment horizontal="center" vertical="center" shrinkToFit="1"/>
    </xf>
    <xf numFmtId="0" fontId="34" fillId="19" borderId="31" xfId="4" applyFont="1" applyFill="1" applyBorder="1" applyAlignment="1">
      <alignment horizontal="center" vertical="center" shrinkToFit="1"/>
    </xf>
    <xf numFmtId="0" fontId="34" fillId="19" borderId="62" xfId="4" applyFont="1" applyFill="1" applyBorder="1" applyAlignment="1">
      <alignment horizontal="center" vertical="center" shrinkToFit="1"/>
    </xf>
    <xf numFmtId="0" fontId="34" fillId="19" borderId="33" xfId="4" applyFont="1" applyFill="1" applyBorder="1" applyAlignment="1">
      <alignment horizontal="center" vertical="center" shrinkToFit="1"/>
    </xf>
    <xf numFmtId="0" fontId="34" fillId="19" borderId="0" xfId="4" applyFont="1" applyFill="1" applyAlignment="1">
      <alignment horizontal="center" vertical="center" shrinkToFit="1"/>
    </xf>
    <xf numFmtId="0" fontId="34" fillId="19" borderId="38" xfId="4" applyFont="1" applyFill="1" applyBorder="1" applyAlignment="1">
      <alignment horizontal="center" vertical="center" shrinkToFit="1"/>
    </xf>
    <xf numFmtId="0" fontId="34" fillId="19" borderId="201" xfId="4" applyFont="1" applyFill="1" applyBorder="1" applyAlignment="1">
      <alignment horizontal="center" vertical="center"/>
    </xf>
    <xf numFmtId="0" fontId="34" fillId="19" borderId="194" xfId="4" applyFont="1" applyFill="1" applyBorder="1" applyAlignment="1">
      <alignment horizontal="center" vertical="center"/>
    </xf>
    <xf numFmtId="0" fontId="34" fillId="19" borderId="39" xfId="4" applyFont="1" applyFill="1" applyBorder="1" applyAlignment="1">
      <alignment horizontal="center" vertical="center"/>
    </xf>
    <xf numFmtId="0" fontId="34" fillId="19" borderId="40" xfId="4" applyFont="1" applyFill="1" applyBorder="1" applyAlignment="1">
      <alignment horizontal="center" vertical="center"/>
    </xf>
    <xf numFmtId="0" fontId="34" fillId="19" borderId="193" xfId="4" applyFont="1" applyFill="1" applyBorder="1" applyAlignment="1">
      <alignment horizontal="center" vertical="center" shrinkToFit="1"/>
    </xf>
    <xf numFmtId="0" fontId="34" fillId="19" borderId="96" xfId="4" applyFont="1" applyFill="1" applyBorder="1" applyAlignment="1">
      <alignment horizontal="center" vertical="center" shrinkToFit="1"/>
    </xf>
    <xf numFmtId="0" fontId="34" fillId="19" borderId="42" xfId="4" applyFont="1" applyFill="1" applyBorder="1" applyAlignment="1">
      <alignment horizontal="center" vertical="center" shrinkToFit="1"/>
    </xf>
    <xf numFmtId="0" fontId="34" fillId="19" borderId="155" xfId="4" applyFont="1" applyFill="1" applyBorder="1" applyAlignment="1">
      <alignment horizontal="center" vertical="center" shrinkToFit="1"/>
    </xf>
    <xf numFmtId="0" fontId="34" fillId="0" borderId="194" xfId="4" applyFont="1" applyBorder="1" applyAlignment="1" applyProtection="1">
      <alignment horizontal="left" vertical="center" shrinkToFit="1"/>
      <protection locked="0"/>
    </xf>
    <xf numFmtId="0" fontId="34" fillId="0" borderId="40" xfId="4" applyFont="1" applyBorder="1" applyAlignment="1" applyProtection="1">
      <alignment horizontal="left" vertical="center" shrinkToFit="1"/>
      <protection locked="0"/>
    </xf>
    <xf numFmtId="10" fontId="34" fillId="19" borderId="193" xfId="6" applyNumberFormat="1" applyFont="1" applyFill="1" applyBorder="1" applyAlignment="1" applyProtection="1">
      <alignment horizontal="center" vertical="center" shrinkToFit="1"/>
    </xf>
    <xf numFmtId="10" fontId="34" fillId="19" borderId="96" xfId="6" applyNumberFormat="1" applyFont="1" applyFill="1" applyBorder="1" applyAlignment="1" applyProtection="1">
      <alignment horizontal="center" vertical="center" shrinkToFit="1"/>
    </xf>
    <xf numFmtId="10" fontId="34" fillId="19" borderId="42" xfId="6" applyNumberFormat="1" applyFont="1" applyFill="1" applyBorder="1" applyAlignment="1" applyProtection="1">
      <alignment horizontal="center" vertical="center" shrinkToFit="1"/>
    </xf>
    <xf numFmtId="10" fontId="34" fillId="19" borderId="155" xfId="6" applyNumberFormat="1" applyFont="1" applyFill="1" applyBorder="1" applyAlignment="1" applyProtection="1">
      <alignment horizontal="center" vertical="center" shrinkToFit="1"/>
    </xf>
    <xf numFmtId="49" fontId="30" fillId="0" borderId="56" xfId="6" applyNumberFormat="1" applyFont="1" applyBorder="1" applyAlignment="1" applyProtection="1">
      <alignment horizontal="center" vertical="center" shrinkToFit="1"/>
      <protection locked="0"/>
    </xf>
    <xf numFmtId="6" fontId="34" fillId="19" borderId="60" xfId="5" applyFont="1" applyFill="1" applyBorder="1" applyAlignment="1" applyProtection="1">
      <alignment horizontal="center" vertical="center" shrinkToFit="1"/>
    </xf>
    <xf numFmtId="6" fontId="34" fillId="19" borderId="56" xfId="5" applyFont="1" applyFill="1" applyBorder="1" applyAlignment="1" applyProtection="1">
      <alignment horizontal="center" vertical="center" shrinkToFit="1"/>
    </xf>
    <xf numFmtId="6" fontId="34" fillId="19" borderId="57" xfId="5" applyFont="1" applyFill="1" applyBorder="1" applyAlignment="1" applyProtection="1">
      <alignment horizontal="center" vertical="center" shrinkToFit="1"/>
    </xf>
    <xf numFmtId="49" fontId="30" fillId="0" borderId="64" xfId="4" applyNumberFormat="1" applyFont="1" applyBorder="1" applyAlignment="1" applyProtection="1">
      <alignment horizontal="center" vertical="center" shrinkToFit="1"/>
      <protection locked="0"/>
    </xf>
    <xf numFmtId="0" fontId="30" fillId="0" borderId="40" xfId="6" applyNumberFormat="1" applyFont="1" applyBorder="1" applyAlignment="1" applyProtection="1">
      <alignment horizontal="left" vertical="center" shrinkToFit="1"/>
      <protection locked="0"/>
    </xf>
    <xf numFmtId="0" fontId="30" fillId="0" borderId="43" xfId="6" applyNumberFormat="1" applyFont="1" applyBorder="1" applyAlignment="1" applyProtection="1">
      <alignment horizontal="left" vertical="center" shrinkToFit="1"/>
      <protection locked="0"/>
    </xf>
    <xf numFmtId="0" fontId="34" fillId="0" borderId="310" xfId="4" applyFont="1" applyBorder="1" applyAlignment="1" applyProtection="1">
      <alignment horizontal="left" vertical="center"/>
      <protection locked="0"/>
    </xf>
    <xf numFmtId="0" fontId="34" fillId="0" borderId="270" xfId="4" applyFont="1" applyBorder="1" applyAlignment="1" applyProtection="1">
      <alignment horizontal="left" vertical="center"/>
      <protection locked="0"/>
    </xf>
    <xf numFmtId="187" fontId="34" fillId="0" borderId="76" xfId="5" applyNumberFormat="1" applyFont="1" applyBorder="1" applyAlignment="1" applyProtection="1">
      <alignment horizontal="right" vertical="center" shrinkToFit="1"/>
    </xf>
    <xf numFmtId="187" fontId="34" fillId="0" borderId="1" xfId="5" applyNumberFormat="1" applyFont="1" applyBorder="1" applyAlignment="1" applyProtection="1">
      <alignment horizontal="right" vertical="center" shrinkToFit="1"/>
    </xf>
    <xf numFmtId="0" fontId="34" fillId="0" borderId="2" xfId="4" applyFont="1" applyBorder="1" applyAlignment="1">
      <alignment horizontal="left" vertical="center" wrapText="1" indent="1"/>
    </xf>
    <xf numFmtId="0" fontId="34" fillId="0" borderId="6" xfId="4" applyFont="1" applyBorder="1" applyAlignment="1">
      <alignment horizontal="left" vertical="center" wrapText="1" indent="1"/>
    </xf>
    <xf numFmtId="0" fontId="34" fillId="0" borderId="106" xfId="4" applyFont="1" applyBorder="1" applyAlignment="1">
      <alignment horizontal="left" vertical="center" wrapText="1" indent="1"/>
    </xf>
    <xf numFmtId="181" fontId="34" fillId="0" borderId="79" xfId="5" applyNumberFormat="1" applyFont="1" applyBorder="1" applyAlignment="1" applyProtection="1">
      <alignment horizontal="right" vertical="center" shrinkToFit="1"/>
    </xf>
    <xf numFmtId="181" fontId="34" fillId="0" borderId="12" xfId="5" applyNumberFormat="1" applyFont="1" applyBorder="1" applyAlignment="1" applyProtection="1">
      <alignment horizontal="right" vertical="center" shrinkToFit="1"/>
    </xf>
    <xf numFmtId="0" fontId="34" fillId="0" borderId="1" xfId="6" applyNumberFormat="1" applyFont="1" applyBorder="1" applyAlignment="1" applyProtection="1">
      <alignment horizontal="right" vertical="center" shrinkToFit="1"/>
      <protection locked="0"/>
    </xf>
    <xf numFmtId="0" fontId="34" fillId="0" borderId="1" xfId="4" applyFont="1" applyBorder="1" applyAlignment="1">
      <alignment horizontal="left" vertical="center" wrapText="1" indent="1"/>
    </xf>
    <xf numFmtId="0" fontId="34" fillId="0" borderId="77" xfId="4" applyFont="1" applyBorder="1" applyAlignment="1">
      <alignment horizontal="left" vertical="center" wrapText="1" indent="1"/>
    </xf>
    <xf numFmtId="0" fontId="34" fillId="0" borderId="76" xfId="6" applyNumberFormat="1" applyFont="1" applyBorder="1" applyAlignment="1" applyProtection="1">
      <alignment horizontal="right" vertical="center" shrinkToFit="1"/>
    </xf>
    <xf numFmtId="0" fontId="34" fillId="0" borderId="1" xfId="6" applyNumberFormat="1" applyFont="1" applyBorder="1" applyAlignment="1" applyProtection="1">
      <alignment horizontal="right" vertical="center" shrinkToFit="1"/>
    </xf>
    <xf numFmtId="6" fontId="34" fillId="0" borderId="12" xfId="6" applyNumberFormat="1" applyFont="1" applyBorder="1" applyAlignment="1" applyProtection="1">
      <alignment horizontal="right" vertical="center" shrinkToFit="1"/>
    </xf>
    <xf numFmtId="6" fontId="34" fillId="0" borderId="13" xfId="6" applyNumberFormat="1" applyFont="1" applyBorder="1" applyAlignment="1" applyProtection="1">
      <alignment horizontal="right" vertical="center" shrinkToFit="1"/>
    </xf>
    <xf numFmtId="6" fontId="34" fillId="0" borderId="78" xfId="6" applyNumberFormat="1" applyFont="1" applyBorder="1" applyAlignment="1" applyProtection="1">
      <alignment horizontal="right" vertical="center" shrinkToFit="1"/>
    </xf>
    <xf numFmtId="6" fontId="34" fillId="0" borderId="36" xfId="6" applyNumberFormat="1" applyFont="1" applyBorder="1" applyAlignment="1" applyProtection="1">
      <alignment horizontal="right" vertical="center" shrinkToFit="1"/>
    </xf>
    <xf numFmtId="6" fontId="34" fillId="0" borderId="54" xfId="6" applyNumberFormat="1" applyFont="1" applyBorder="1" applyAlignment="1" applyProtection="1">
      <alignment horizontal="right" vertical="center" shrinkToFit="1"/>
    </xf>
    <xf numFmtId="0" fontId="34" fillId="0" borderId="5" xfId="4" applyFont="1" applyBorder="1" applyAlignment="1" applyProtection="1">
      <alignment horizontal="left" vertical="center" shrinkToFit="1"/>
      <protection locked="0"/>
    </xf>
    <xf numFmtId="0" fontId="34" fillId="0" borderId="36" xfId="4" applyFont="1" applyBorder="1" applyAlignment="1" applyProtection="1">
      <alignment horizontal="left" vertical="center" shrinkToFit="1"/>
      <protection locked="0"/>
    </xf>
    <xf numFmtId="0" fontId="34" fillId="0" borderId="80" xfId="4" applyFont="1" applyBorder="1" applyAlignment="1" applyProtection="1">
      <alignment horizontal="left" vertical="center" shrinkToFit="1"/>
      <protection locked="0"/>
    </xf>
    <xf numFmtId="0" fontId="34" fillId="0" borderId="2" xfId="4" applyFont="1" applyBorder="1" applyAlignment="1">
      <alignment horizontal="left" vertical="center" indent="1" shrinkToFit="1"/>
    </xf>
    <xf numFmtId="0" fontId="34" fillId="0" borderId="6" xfId="4" applyFont="1" applyBorder="1" applyAlignment="1">
      <alignment horizontal="left" vertical="center" indent="1" shrinkToFit="1"/>
    </xf>
    <xf numFmtId="0" fontId="34" fillId="0" borderId="269" xfId="4" applyFont="1" applyBorder="1" applyAlignment="1">
      <alignment horizontal="left" vertical="center" indent="1" shrinkToFit="1"/>
    </xf>
    <xf numFmtId="0" fontId="34" fillId="0" borderId="270" xfId="6" applyNumberFormat="1" applyFont="1" applyBorder="1" applyAlignment="1" applyProtection="1">
      <alignment horizontal="right" vertical="center" shrinkToFit="1"/>
      <protection locked="0"/>
    </xf>
    <xf numFmtId="6" fontId="34" fillId="0" borderId="286" xfId="13" applyFont="1" applyBorder="1" applyAlignment="1" applyProtection="1">
      <alignment horizontal="right" vertical="center" shrinkToFit="1"/>
    </xf>
    <xf numFmtId="6" fontId="34" fillId="0" borderId="270" xfId="13" applyFont="1" applyBorder="1" applyAlignment="1" applyProtection="1">
      <alignment horizontal="right" vertical="center" shrinkToFit="1"/>
    </xf>
    <xf numFmtId="0" fontId="34" fillId="19" borderId="113" xfId="4" applyFont="1" applyFill="1" applyBorder="1" applyAlignment="1">
      <alignment horizontal="center" vertical="center"/>
    </xf>
    <xf numFmtId="0" fontId="34" fillId="19" borderId="82" xfId="4" applyFont="1" applyFill="1" applyBorder="1" applyAlignment="1">
      <alignment horizontal="center" vertical="center"/>
    </xf>
    <xf numFmtId="0" fontId="34" fillId="19" borderId="100" xfId="4" applyFont="1" applyFill="1" applyBorder="1" applyAlignment="1">
      <alignment horizontal="center" vertical="center"/>
    </xf>
    <xf numFmtId="0" fontId="34" fillId="19" borderId="81" xfId="4" applyFont="1" applyFill="1" applyBorder="1" applyAlignment="1">
      <alignment horizontal="center" vertical="center"/>
    </xf>
    <xf numFmtId="0" fontId="34" fillId="19" borderId="6" xfId="4" applyFont="1" applyFill="1" applyBorder="1" applyAlignment="1">
      <alignment horizontal="center" vertical="center"/>
    </xf>
    <xf numFmtId="0" fontId="34" fillId="19" borderId="192" xfId="4" applyFont="1" applyFill="1" applyBorder="1" applyAlignment="1">
      <alignment horizontal="center" vertical="center"/>
    </xf>
    <xf numFmtId="0" fontId="34" fillId="62" borderId="117" xfId="4" applyFont="1" applyFill="1" applyBorder="1" applyAlignment="1">
      <alignment horizontal="center" vertical="center" wrapText="1"/>
    </xf>
    <xf numFmtId="0" fontId="34" fillId="62" borderId="23" xfId="4" applyFont="1" applyFill="1" applyBorder="1" applyAlignment="1">
      <alignment horizontal="center" vertical="center" wrapText="1"/>
    </xf>
    <xf numFmtId="0" fontId="34" fillId="62" borderId="134" xfId="4" applyFont="1" applyFill="1" applyBorder="1" applyAlignment="1">
      <alignment horizontal="center" vertical="center" wrapText="1"/>
    </xf>
    <xf numFmtId="0" fontId="34" fillId="62" borderId="78" xfId="4" applyFont="1" applyFill="1" applyBorder="1" applyAlignment="1">
      <alignment horizontal="center" vertical="center" wrapText="1"/>
    </xf>
    <xf numFmtId="0" fontId="34" fillId="62" borderId="36" xfId="4" applyFont="1" applyFill="1" applyBorder="1" applyAlignment="1">
      <alignment horizontal="center" vertical="center" wrapText="1"/>
    </xf>
    <xf numFmtId="0" fontId="34" fillId="62" borderId="80" xfId="4" applyFont="1" applyFill="1" applyBorder="1" applyAlignment="1">
      <alignment horizontal="center" vertical="center" wrapText="1"/>
    </xf>
    <xf numFmtId="0" fontId="34" fillId="61" borderId="133" xfId="4" applyFont="1" applyFill="1" applyBorder="1" applyAlignment="1">
      <alignment horizontal="center" vertical="center" wrapText="1"/>
    </xf>
    <xf numFmtId="0" fontId="34" fillId="61" borderId="132" xfId="4" applyFont="1" applyFill="1" applyBorder="1" applyAlignment="1">
      <alignment horizontal="center" vertical="center" wrapText="1"/>
    </xf>
    <xf numFmtId="0" fontId="34" fillId="61" borderId="270" xfId="4" applyFont="1" applyFill="1" applyBorder="1" applyAlignment="1">
      <alignment horizontal="center" vertical="center" wrapText="1"/>
    </xf>
    <xf numFmtId="0" fontId="34" fillId="61" borderId="1" xfId="4" applyFont="1" applyFill="1" applyBorder="1" applyAlignment="1">
      <alignment horizontal="center" vertical="center" wrapText="1"/>
    </xf>
    <xf numFmtId="0" fontId="34" fillId="61" borderId="77" xfId="4" applyFont="1" applyFill="1" applyBorder="1" applyAlignment="1">
      <alignment horizontal="center" vertical="center" wrapText="1"/>
    </xf>
    <xf numFmtId="0" fontId="34" fillId="2" borderId="201" xfId="4" applyFont="1" applyFill="1" applyBorder="1" applyAlignment="1">
      <alignment horizontal="center" vertical="center" shrinkToFit="1"/>
    </xf>
    <xf numFmtId="0" fontId="34" fillId="2" borderId="194" xfId="4" applyFont="1" applyFill="1" applyBorder="1" applyAlignment="1">
      <alignment horizontal="center" vertical="center" shrinkToFit="1"/>
    </xf>
    <xf numFmtId="0" fontId="34" fillId="2" borderId="195" xfId="4" applyFont="1" applyFill="1" applyBorder="1" applyAlignment="1">
      <alignment horizontal="center" vertical="center" shrinkToFit="1"/>
    </xf>
    <xf numFmtId="0" fontId="34" fillId="2" borderId="33" xfId="4" applyFont="1" applyFill="1" applyBorder="1" applyAlignment="1">
      <alignment horizontal="center" vertical="center" shrinkToFit="1"/>
    </xf>
    <xf numFmtId="0" fontId="34" fillId="2" borderId="0" xfId="4" applyFont="1" applyFill="1" applyAlignment="1">
      <alignment horizontal="center" vertical="center" shrinkToFit="1"/>
    </xf>
    <xf numFmtId="0" fontId="34" fillId="2" borderId="38" xfId="4" applyFont="1" applyFill="1" applyBorder="1" applyAlignment="1">
      <alignment horizontal="center" vertical="center" shrinkToFit="1"/>
    </xf>
    <xf numFmtId="0" fontId="34" fillId="0" borderId="200" xfId="6" applyNumberFormat="1" applyFont="1" applyBorder="1" applyAlignment="1" applyProtection="1">
      <alignment horizontal="right" vertical="center" shrinkToFit="1"/>
    </xf>
    <xf numFmtId="186" fontId="34" fillId="0" borderId="76" xfId="5" applyNumberFormat="1" applyFont="1" applyBorder="1" applyAlignment="1" applyProtection="1">
      <alignment horizontal="right" vertical="center" shrinkToFit="1"/>
    </xf>
    <xf numFmtId="186" fontId="34" fillId="0" borderId="1" xfId="5" applyNumberFormat="1" applyFont="1" applyBorder="1" applyAlignment="1" applyProtection="1">
      <alignment horizontal="right" vertical="center" shrinkToFit="1"/>
    </xf>
    <xf numFmtId="0" fontId="34" fillId="19" borderId="98" xfId="4" applyFont="1" applyFill="1" applyBorder="1" applyAlignment="1">
      <alignment horizontal="center" vertical="center" shrinkToFit="1"/>
    </xf>
    <xf numFmtId="0" fontId="34" fillId="19" borderId="99" xfId="4" applyFont="1" applyFill="1" applyBorder="1" applyAlignment="1">
      <alignment horizontal="center" vertical="center" shrinkToFit="1"/>
    </xf>
    <xf numFmtId="0" fontId="34" fillId="0" borderId="81" xfId="4" applyFont="1" applyBorder="1" applyAlignment="1">
      <alignment horizontal="center" vertical="center" shrinkToFit="1"/>
    </xf>
    <xf numFmtId="0" fontId="34" fillId="0" borderId="274" xfId="4" applyFont="1" applyBorder="1" applyAlignment="1">
      <alignment horizontal="center" vertical="center" shrinkToFit="1"/>
    </xf>
    <xf numFmtId="6" fontId="34" fillId="0" borderId="325" xfId="13" applyFont="1" applyFill="1" applyBorder="1" applyAlignment="1" applyProtection="1">
      <alignment horizontal="right" vertical="center" shrinkToFit="1"/>
      <protection locked="0"/>
    </xf>
    <xf numFmtId="6" fontId="34" fillId="0" borderId="276" xfId="13" applyFont="1" applyFill="1" applyBorder="1" applyAlignment="1" applyProtection="1">
      <alignment horizontal="right" vertical="center" shrinkToFit="1"/>
      <protection locked="0"/>
    </xf>
    <xf numFmtId="6" fontId="34" fillId="0" borderId="326" xfId="13" applyFont="1" applyFill="1" applyBorder="1" applyAlignment="1" applyProtection="1">
      <alignment horizontal="right" vertical="center" shrinkToFit="1"/>
      <protection locked="0"/>
    </xf>
    <xf numFmtId="6" fontId="34" fillId="0" borderId="286" xfId="13" applyFont="1" applyBorder="1" applyAlignment="1" applyProtection="1">
      <alignment horizontal="right" vertical="center"/>
      <protection locked="0"/>
    </xf>
    <xf numFmtId="6" fontId="34" fillId="0" borderId="270" xfId="13" applyFont="1" applyBorder="1" applyAlignment="1" applyProtection="1">
      <alignment horizontal="right" vertical="center"/>
      <protection locked="0"/>
    </xf>
    <xf numFmtId="0" fontId="30" fillId="0" borderId="270" xfId="4" applyFont="1" applyBorder="1" applyAlignment="1">
      <alignment horizontal="left" vertical="center"/>
    </xf>
    <xf numFmtId="0" fontId="30" fillId="0" borderId="284" xfId="4" applyFont="1" applyBorder="1" applyAlignment="1">
      <alignment horizontal="left" vertical="center"/>
    </xf>
    <xf numFmtId="184" fontId="30" fillId="0" borderId="270" xfId="5" applyNumberFormat="1" applyFont="1" applyFill="1" applyBorder="1" applyAlignment="1" applyProtection="1">
      <alignment horizontal="left" vertical="center" shrinkToFit="1"/>
    </xf>
    <xf numFmtId="184" fontId="30" fillId="0" borderId="284" xfId="5" applyNumberFormat="1" applyFont="1" applyFill="1" applyBorder="1" applyAlignment="1" applyProtection="1">
      <alignment horizontal="left" vertical="center" shrinkToFit="1"/>
    </xf>
    <xf numFmtId="184" fontId="30" fillId="0" borderId="285" xfId="5" applyNumberFormat="1" applyFont="1" applyFill="1" applyBorder="1" applyAlignment="1" applyProtection="1">
      <alignment horizontal="left" vertical="center"/>
    </xf>
    <xf numFmtId="184" fontId="30" fillId="0" borderId="268" xfId="5" applyNumberFormat="1" applyFont="1" applyFill="1" applyBorder="1" applyAlignment="1" applyProtection="1">
      <alignment horizontal="left" vertical="center"/>
    </xf>
    <xf numFmtId="0" fontId="30" fillId="7" borderId="117" xfId="4" applyFont="1" applyFill="1" applyBorder="1" applyAlignment="1">
      <alignment horizontal="center" vertical="center" shrinkToFit="1"/>
    </xf>
    <xf numFmtId="0" fontId="30" fillId="7" borderId="23" xfId="4" applyFont="1" applyFill="1" applyBorder="1" applyAlignment="1">
      <alignment horizontal="center" vertical="center" shrinkToFit="1"/>
    </xf>
    <xf numFmtId="0" fontId="30" fillId="7" borderId="134" xfId="4" applyFont="1" applyFill="1" applyBorder="1" applyAlignment="1">
      <alignment horizontal="center" vertical="center" shrinkToFit="1"/>
    </xf>
    <xf numFmtId="0" fontId="36" fillId="0" borderId="344" xfId="4" applyFont="1" applyBorder="1" applyAlignment="1">
      <alignment horizontal="center" vertical="center" shrinkToFit="1"/>
    </xf>
    <xf numFmtId="0" fontId="36" fillId="0" borderId="208" xfId="4" applyFont="1" applyBorder="1" applyAlignment="1">
      <alignment horizontal="center" vertical="center" shrinkToFit="1"/>
    </xf>
    <xf numFmtId="6" fontId="34" fillId="0" borderId="258" xfId="13" applyFont="1" applyBorder="1" applyAlignment="1">
      <alignment horizontal="right" vertical="center" shrinkToFit="1"/>
    </xf>
    <xf numFmtId="6" fontId="34" fillId="0" borderId="157" xfId="13" applyFont="1" applyBorder="1" applyAlignment="1">
      <alignment horizontal="right" vertical="center" shrinkToFit="1"/>
    </xf>
    <xf numFmtId="0" fontId="30" fillId="0" borderId="157" xfId="4" applyFont="1" applyBorder="1" applyAlignment="1">
      <alignment horizontal="left" vertical="center"/>
    </xf>
    <xf numFmtId="0" fontId="30" fillId="0" borderId="158" xfId="4" applyFont="1" applyBorder="1" applyAlignment="1">
      <alignment horizontal="left" vertical="center"/>
    </xf>
    <xf numFmtId="0" fontId="28" fillId="0" borderId="208" xfId="4" applyFont="1" applyBorder="1" applyAlignment="1">
      <alignment horizontal="left" vertical="center" shrinkToFit="1"/>
    </xf>
    <xf numFmtId="0" fontId="28" fillId="0" borderId="345" xfId="4" applyFont="1" applyBorder="1" applyAlignment="1">
      <alignment horizontal="left" vertical="center" shrinkToFit="1"/>
    </xf>
    <xf numFmtId="49" fontId="34" fillId="6" borderId="7" xfId="13" applyNumberFormat="1" applyFont="1" applyFill="1" applyBorder="1" applyAlignment="1" applyProtection="1">
      <alignment horizontal="center" vertical="center" shrinkToFit="1"/>
      <protection locked="0"/>
    </xf>
    <xf numFmtId="49" fontId="34" fillId="6" borderId="96" xfId="13" applyNumberFormat="1" applyFont="1" applyFill="1" applyBorder="1" applyAlignment="1" applyProtection="1">
      <alignment horizontal="center" vertical="center" shrinkToFit="1"/>
      <protection locked="0"/>
    </xf>
    <xf numFmtId="49" fontId="34" fillId="6" borderId="42" xfId="13" applyNumberFormat="1" applyFont="1" applyFill="1" applyBorder="1" applyAlignment="1" applyProtection="1">
      <alignment horizontal="center" vertical="center" shrinkToFit="1"/>
      <protection locked="0"/>
    </xf>
    <xf numFmtId="49" fontId="34" fillId="6" borderId="155" xfId="13" applyNumberFormat="1" applyFont="1" applyFill="1" applyBorder="1" applyAlignment="1" applyProtection="1">
      <alignment horizontal="center" vertical="center" shrinkToFit="1"/>
      <protection locked="0"/>
    </xf>
    <xf numFmtId="49" fontId="29" fillId="6" borderId="97" xfId="13" applyNumberFormat="1" applyFont="1" applyFill="1" applyBorder="1" applyAlignment="1" applyProtection="1">
      <alignment horizontal="left" vertical="center" wrapText="1" shrinkToFit="1"/>
      <protection locked="0"/>
    </xf>
    <xf numFmtId="49" fontId="29" fillId="6" borderId="147" xfId="13" applyNumberFormat="1" applyFont="1" applyFill="1" applyBorder="1" applyAlignment="1" applyProtection="1">
      <alignment horizontal="left" vertical="center" wrapText="1" shrinkToFit="1"/>
      <protection locked="0"/>
    </xf>
    <xf numFmtId="49" fontId="29" fillId="6" borderId="150" xfId="13" applyNumberFormat="1" applyFont="1" applyFill="1" applyBorder="1" applyAlignment="1" applyProtection="1">
      <alignment horizontal="left" vertical="center" wrapText="1" shrinkToFit="1"/>
      <protection locked="0"/>
    </xf>
    <xf numFmtId="49" fontId="29" fillId="6" borderId="167" xfId="13" applyNumberFormat="1" applyFont="1" applyFill="1" applyBorder="1" applyAlignment="1" applyProtection="1">
      <alignment horizontal="left" vertical="center" wrapText="1" shrinkToFit="1"/>
      <protection locked="0"/>
    </xf>
    <xf numFmtId="49" fontId="29" fillId="6" borderId="40" xfId="13" applyNumberFormat="1" applyFont="1" applyFill="1" applyBorder="1" applyAlignment="1" applyProtection="1">
      <alignment horizontal="left" vertical="center" wrapText="1" shrinkToFit="1"/>
      <protection locked="0"/>
    </xf>
    <xf numFmtId="49" fontId="29" fillId="6" borderId="43" xfId="13" applyNumberFormat="1" applyFont="1" applyFill="1" applyBorder="1" applyAlignment="1" applyProtection="1">
      <alignment horizontal="left" vertical="center" wrapText="1" shrinkToFit="1"/>
      <protection locked="0"/>
    </xf>
    <xf numFmtId="0" fontId="29" fillId="19" borderId="66" xfId="4" applyFont="1" applyFill="1" applyBorder="1" applyAlignment="1">
      <alignment horizontal="center" vertical="center" wrapText="1" shrinkToFit="1"/>
    </xf>
    <xf numFmtId="0" fontId="29" fillId="19" borderId="67" xfId="4" applyFont="1" applyFill="1" applyBorder="1" applyAlignment="1">
      <alignment horizontal="center" vertical="center" wrapText="1" shrinkToFit="1"/>
    </xf>
    <xf numFmtId="0" fontId="29" fillId="19" borderId="68" xfId="4" applyFont="1" applyFill="1" applyBorder="1" applyAlignment="1">
      <alignment horizontal="center" vertical="center" wrapText="1" shrinkToFit="1"/>
    </xf>
    <xf numFmtId="49" fontId="29" fillId="6" borderId="148" xfId="13" applyNumberFormat="1" applyFont="1" applyFill="1" applyBorder="1" applyAlignment="1" applyProtection="1">
      <alignment horizontal="center" vertical="center" wrapText="1" shrinkToFit="1"/>
      <protection locked="0"/>
    </xf>
    <xf numFmtId="6" fontId="34" fillId="0" borderId="204" xfId="5" applyFont="1" applyBorder="1" applyAlignment="1" applyProtection="1">
      <alignment horizontal="right" vertical="center" shrinkToFit="1"/>
      <protection locked="0"/>
    </xf>
    <xf numFmtId="6" fontId="34" fillId="0" borderId="143" xfId="5" applyFont="1" applyBorder="1" applyAlignment="1" applyProtection="1">
      <alignment horizontal="right" vertical="center" shrinkToFit="1"/>
      <protection locked="0"/>
    </xf>
    <xf numFmtId="6" fontId="34" fillId="0" borderId="205" xfId="5" applyFont="1" applyBorder="1" applyAlignment="1" applyProtection="1">
      <alignment horizontal="right" vertical="center" shrinkToFit="1"/>
      <protection locked="0"/>
    </xf>
    <xf numFmtId="0" fontId="34" fillId="23" borderId="30" xfId="4" applyFont="1" applyFill="1" applyBorder="1" applyAlignment="1">
      <alignment horizontal="center" vertical="center" shrinkToFit="1"/>
    </xf>
    <xf numFmtId="0" fontId="34" fillId="23" borderId="31" xfId="4" applyFont="1" applyFill="1" applyBorder="1" applyAlignment="1">
      <alignment horizontal="center" vertical="center" shrinkToFit="1"/>
    </xf>
    <xf numFmtId="0" fontId="34" fillId="23" borderId="62" xfId="4" applyFont="1" applyFill="1" applyBorder="1" applyAlignment="1">
      <alignment horizontal="center" vertical="center" shrinkToFit="1"/>
    </xf>
    <xf numFmtId="0" fontId="34" fillId="23" borderId="33" xfId="4" applyFont="1" applyFill="1" applyBorder="1" applyAlignment="1">
      <alignment horizontal="center" vertical="center" shrinkToFit="1"/>
    </xf>
    <xf numFmtId="0" fontId="34" fillId="23" borderId="0" xfId="4" applyFont="1" applyFill="1" applyAlignment="1">
      <alignment horizontal="center" vertical="center" shrinkToFit="1"/>
    </xf>
    <xf numFmtId="0" fontId="34" fillId="23" borderId="38" xfId="4" applyFont="1" applyFill="1" applyBorder="1" applyAlignment="1">
      <alignment horizontal="center" vertical="center" shrinkToFit="1"/>
    </xf>
    <xf numFmtId="0" fontId="34" fillId="23" borderId="39" xfId="4" applyFont="1" applyFill="1" applyBorder="1" applyAlignment="1">
      <alignment horizontal="center" vertical="center" shrinkToFit="1"/>
    </xf>
    <xf numFmtId="0" fontId="34" fillId="23" borderId="40" xfId="4" applyFont="1" applyFill="1" applyBorder="1" applyAlignment="1">
      <alignment horizontal="center" vertical="center" shrinkToFit="1"/>
    </xf>
    <xf numFmtId="0" fontId="34" fillId="23" borderId="41" xfId="4" applyFont="1" applyFill="1" applyBorder="1" applyAlignment="1">
      <alignment horizontal="center" vertical="center" shrinkToFit="1"/>
    </xf>
    <xf numFmtId="0" fontId="30" fillId="2" borderId="63" xfId="4" applyFont="1" applyFill="1" applyBorder="1" applyAlignment="1">
      <alignment horizontal="left" vertical="top" wrapText="1" shrinkToFit="1"/>
    </xf>
    <xf numFmtId="0" fontId="30" fillId="2" borderId="31" xfId="4" applyFont="1" applyFill="1" applyBorder="1" applyAlignment="1">
      <alignment horizontal="left" vertical="top" wrapText="1" shrinkToFit="1"/>
    </xf>
    <xf numFmtId="0" fontId="30" fillId="2" borderId="32" xfId="4" applyFont="1" applyFill="1" applyBorder="1" applyAlignment="1">
      <alignment horizontal="left" vertical="top" wrapText="1" shrinkToFit="1"/>
    </xf>
    <xf numFmtId="0" fontId="30" fillId="2" borderId="8" xfId="4" applyFont="1" applyFill="1" applyBorder="1" applyAlignment="1">
      <alignment horizontal="left" vertical="top" wrapText="1" shrinkToFit="1"/>
    </xf>
    <xf numFmtId="0" fontId="30" fillId="2" borderId="0" xfId="4" applyFont="1" applyFill="1" applyAlignment="1">
      <alignment horizontal="left" vertical="top" wrapText="1" shrinkToFit="1"/>
    </xf>
    <xf numFmtId="0" fontId="30" fillId="2" borderId="34" xfId="4" applyFont="1" applyFill="1" applyBorder="1" applyAlignment="1">
      <alignment horizontal="left" vertical="top" wrapText="1" shrinkToFit="1"/>
    </xf>
    <xf numFmtId="0" fontId="30" fillId="2" borderId="42" xfId="4" applyFont="1" applyFill="1" applyBorder="1" applyAlignment="1">
      <alignment horizontal="left" vertical="top" wrapText="1" shrinkToFit="1"/>
    </xf>
    <xf numFmtId="0" fontId="30" fillId="2" borderId="40" xfId="4" applyFont="1" applyFill="1" applyBorder="1" applyAlignment="1">
      <alignment horizontal="left" vertical="top" wrapText="1" shrinkToFit="1"/>
    </xf>
    <xf numFmtId="0" fontId="30" fillId="2" borderId="43" xfId="4" applyFont="1" applyFill="1" applyBorder="1" applyAlignment="1">
      <alignment horizontal="left" vertical="top" wrapText="1" shrinkToFit="1"/>
    </xf>
    <xf numFmtId="0" fontId="34" fillId="19" borderId="229" xfId="4" applyFont="1" applyFill="1" applyBorder="1" applyAlignment="1">
      <alignment horizontal="center" vertical="center" shrinkToFit="1"/>
    </xf>
    <xf numFmtId="0" fontId="30" fillId="7" borderId="140" xfId="4" applyFont="1" applyFill="1" applyBorder="1" applyAlignment="1">
      <alignment horizontal="center" vertical="center" shrinkToFit="1"/>
    </xf>
    <xf numFmtId="0" fontId="30" fillId="7" borderId="141" xfId="4" applyFont="1" applyFill="1" applyBorder="1" applyAlignment="1">
      <alignment horizontal="center" vertical="center" shrinkToFit="1"/>
    </xf>
    <xf numFmtId="0" fontId="30" fillId="7" borderId="142" xfId="4" applyFont="1" applyFill="1" applyBorder="1" applyAlignment="1">
      <alignment horizontal="center" vertical="center" shrinkToFit="1"/>
    </xf>
    <xf numFmtId="0" fontId="34" fillId="2" borderId="35" xfId="4" applyFont="1" applyFill="1" applyBorder="1" applyAlignment="1">
      <alignment horizontal="left" vertical="center" shrinkToFit="1"/>
    </xf>
    <xf numFmtId="0" fontId="34" fillId="2" borderId="36" xfId="4" applyFont="1" applyFill="1" applyBorder="1" applyAlignment="1">
      <alignment horizontal="left" vertical="center" shrinkToFit="1"/>
    </xf>
    <xf numFmtId="0" fontId="34" fillId="2" borderId="54" xfId="4" applyFont="1" applyFill="1" applyBorder="1" applyAlignment="1">
      <alignment horizontal="left" vertical="center" shrinkToFit="1"/>
    </xf>
    <xf numFmtId="0" fontId="34" fillId="0" borderId="36" xfId="4" applyFont="1" applyBorder="1" applyAlignment="1" applyProtection="1">
      <alignment horizontal="center" vertical="center"/>
      <protection locked="0"/>
    </xf>
    <xf numFmtId="6" fontId="34" fillId="0" borderId="250" xfId="5" applyFont="1" applyBorder="1" applyAlignment="1" applyProtection="1">
      <alignment horizontal="right" vertical="center" shrinkToFit="1"/>
    </xf>
    <xf numFmtId="6" fontId="34" fillId="0" borderId="249" xfId="5" applyFont="1" applyBorder="1" applyAlignment="1" applyProtection="1">
      <alignment horizontal="right" vertical="center" shrinkToFit="1"/>
    </xf>
    <xf numFmtId="6" fontId="5" fillId="4" borderId="9" xfId="4" applyNumberFormat="1" applyFont="1" applyFill="1" applyBorder="1" applyAlignment="1" applyProtection="1">
      <alignment horizontal="center" vertical="center"/>
      <protection hidden="1"/>
    </xf>
    <xf numFmtId="6" fontId="5" fillId="4" borderId="10" xfId="4" applyNumberFormat="1" applyFont="1" applyFill="1" applyBorder="1" applyAlignment="1" applyProtection="1">
      <alignment horizontal="center" vertical="center"/>
      <protection hidden="1"/>
    </xf>
    <xf numFmtId="6" fontId="5" fillId="4" borderId="11" xfId="4" applyNumberFormat="1" applyFont="1" applyFill="1" applyBorder="1" applyAlignment="1" applyProtection="1">
      <alignment horizontal="center" vertical="center"/>
      <protection hidden="1"/>
    </xf>
    <xf numFmtId="0" fontId="34" fillId="0" borderId="6" xfId="4" applyFont="1" applyBorder="1" applyAlignment="1">
      <alignment horizontal="center" vertical="center" shrinkToFit="1"/>
    </xf>
    <xf numFmtId="184" fontId="34" fillId="6" borderId="19" xfId="5" applyNumberFormat="1" applyFont="1" applyFill="1" applyBorder="1" applyAlignment="1" applyProtection="1">
      <alignment horizontal="right" vertical="center"/>
      <protection locked="0"/>
    </xf>
    <xf numFmtId="184" fontId="34" fillId="6" borderId="20" xfId="5" applyNumberFormat="1" applyFont="1" applyFill="1" applyBorder="1" applyAlignment="1" applyProtection="1">
      <alignment horizontal="right" vertical="center"/>
      <protection locked="0"/>
    </xf>
    <xf numFmtId="184" fontId="34" fillId="6" borderId="143" xfId="5" applyNumberFormat="1" applyFont="1" applyFill="1" applyBorder="1" applyAlignment="1" applyProtection="1">
      <alignment horizontal="right" vertical="center" shrinkToFit="1"/>
      <protection locked="0"/>
    </xf>
    <xf numFmtId="184" fontId="34" fillId="6" borderId="143" xfId="5" applyNumberFormat="1" applyFont="1" applyFill="1" applyBorder="1" applyAlignment="1" applyProtection="1">
      <alignment horizontal="right" vertical="center" shrinkToFit="1"/>
    </xf>
    <xf numFmtId="184" fontId="34" fillId="6" borderId="22" xfId="5" applyNumberFormat="1" applyFont="1" applyFill="1" applyBorder="1" applyAlignment="1" applyProtection="1">
      <alignment horizontal="right" vertical="center" shrinkToFit="1"/>
      <protection locked="0"/>
    </xf>
    <xf numFmtId="184" fontId="34" fillId="6" borderId="20" xfId="5" applyNumberFormat="1" applyFont="1" applyFill="1" applyBorder="1" applyAlignment="1" applyProtection="1">
      <alignment horizontal="right" vertical="center" shrinkToFit="1"/>
      <protection locked="0"/>
    </xf>
    <xf numFmtId="184" fontId="34" fillId="6" borderId="76" xfId="5" applyNumberFormat="1" applyFont="1" applyFill="1" applyBorder="1" applyAlignment="1" applyProtection="1">
      <alignment horizontal="right" vertical="center"/>
      <protection locked="0"/>
    </xf>
    <xf numFmtId="184" fontId="34" fillId="6" borderId="1" xfId="5" applyNumberFormat="1" applyFont="1" applyFill="1" applyBorder="1" applyAlignment="1" applyProtection="1">
      <alignment horizontal="right" vertical="center"/>
      <protection locked="0"/>
    </xf>
    <xf numFmtId="184" fontId="34" fillId="6" borderId="6" xfId="5" applyNumberFormat="1" applyFont="1" applyFill="1" applyBorder="1" applyAlignment="1" applyProtection="1">
      <alignment horizontal="right" vertical="center" shrinkToFit="1"/>
      <protection locked="0"/>
    </xf>
    <xf numFmtId="184" fontId="34" fillId="6" borderId="6" xfId="5" applyNumberFormat="1" applyFont="1" applyFill="1" applyBorder="1" applyAlignment="1" applyProtection="1">
      <alignment horizontal="right" vertical="center" shrinkToFit="1"/>
    </xf>
    <xf numFmtId="184" fontId="34" fillId="6" borderId="3" xfId="5" applyNumberFormat="1" applyFont="1" applyFill="1" applyBorder="1" applyAlignment="1" applyProtection="1">
      <alignment horizontal="right" vertical="center" shrinkToFit="1"/>
      <protection locked="0"/>
    </xf>
    <xf numFmtId="184" fontId="34" fillId="6" borderId="1" xfId="5" applyNumberFormat="1" applyFont="1" applyFill="1" applyBorder="1" applyAlignment="1" applyProtection="1">
      <alignment horizontal="right" vertical="center" shrinkToFit="1"/>
      <protection locked="0"/>
    </xf>
    <xf numFmtId="184" fontId="34" fillId="6" borderId="22" xfId="13" applyNumberFormat="1" applyFont="1" applyFill="1" applyBorder="1" applyAlignment="1" applyProtection="1">
      <alignment horizontal="right" vertical="center" shrinkToFit="1"/>
      <protection locked="0"/>
    </xf>
    <xf numFmtId="184" fontId="34" fillId="6" borderId="20" xfId="13" applyNumberFormat="1" applyFont="1" applyFill="1" applyBorder="1" applyAlignment="1" applyProtection="1">
      <alignment horizontal="right" vertical="center" shrinkToFit="1"/>
      <protection locked="0"/>
    </xf>
    <xf numFmtId="0" fontId="34" fillId="19" borderId="65" xfId="4" applyFont="1" applyFill="1" applyBorder="1" applyAlignment="1">
      <alignment horizontal="center" vertical="center" wrapText="1" shrinkToFit="1"/>
    </xf>
    <xf numFmtId="0" fontId="34" fillId="19" borderId="147" xfId="4" applyFont="1" applyFill="1" applyBorder="1" applyAlignment="1">
      <alignment horizontal="center" vertical="center" wrapText="1" shrinkToFit="1"/>
    </xf>
    <xf numFmtId="0" fontId="34" fillId="19" borderId="33" xfId="4" applyFont="1" applyFill="1" applyBorder="1" applyAlignment="1">
      <alignment horizontal="center" vertical="center" wrapText="1" shrinkToFit="1"/>
    </xf>
    <xf numFmtId="0" fontId="34" fillId="19" borderId="0" xfId="4" applyFont="1" applyFill="1" applyAlignment="1">
      <alignment horizontal="center" vertical="center" wrapText="1" shrinkToFit="1"/>
    </xf>
    <xf numFmtId="0" fontId="34" fillId="19" borderId="39" xfId="4" applyFont="1" applyFill="1" applyBorder="1" applyAlignment="1">
      <alignment horizontal="center" vertical="center" wrapText="1" shrinkToFit="1"/>
    </xf>
    <xf numFmtId="0" fontId="34" fillId="19" borderId="40" xfId="4" applyFont="1" applyFill="1" applyBorder="1" applyAlignment="1">
      <alignment horizontal="center" vertical="center" wrapText="1" shrinkToFit="1"/>
    </xf>
    <xf numFmtId="0" fontId="34" fillId="19" borderId="1" xfId="4" applyFont="1" applyFill="1" applyBorder="1" applyAlignment="1">
      <alignment horizontal="center" vertical="center" wrapText="1" shrinkToFit="1"/>
    </xf>
    <xf numFmtId="0" fontId="34" fillId="19" borderId="2" xfId="4" applyFont="1" applyFill="1" applyBorder="1" applyAlignment="1">
      <alignment horizontal="center" vertical="center" wrapText="1" shrinkToFit="1"/>
    </xf>
    <xf numFmtId="0" fontId="64" fillId="19" borderId="152" xfId="4" applyFont="1" applyFill="1" applyBorder="1" applyAlignment="1">
      <alignment horizontal="center" vertical="center" shrinkToFit="1"/>
    </xf>
    <xf numFmtId="0" fontId="64" fillId="19" borderId="153" xfId="4" applyFont="1" applyFill="1" applyBorder="1" applyAlignment="1">
      <alignment horizontal="center" vertical="center" shrinkToFit="1"/>
    </xf>
    <xf numFmtId="0" fontId="64" fillId="19" borderId="154" xfId="4" applyFont="1" applyFill="1" applyBorder="1" applyAlignment="1">
      <alignment horizontal="center" vertical="center" shrinkToFit="1"/>
    </xf>
    <xf numFmtId="6" fontId="34" fillId="19" borderId="152" xfId="13" applyFont="1" applyFill="1" applyBorder="1" applyAlignment="1" applyProtection="1">
      <alignment horizontal="center" vertical="center" shrinkToFit="1"/>
    </xf>
    <xf numFmtId="6" fontId="34" fillId="19" borderId="154" xfId="13" applyFont="1" applyFill="1" applyBorder="1" applyAlignment="1" applyProtection="1">
      <alignment horizontal="center" vertical="center" shrinkToFit="1"/>
    </xf>
    <xf numFmtId="6" fontId="34" fillId="19" borderId="153" xfId="13" applyFont="1" applyFill="1" applyBorder="1" applyAlignment="1" applyProtection="1">
      <alignment horizontal="center" vertical="center" shrinkToFit="1"/>
    </xf>
    <xf numFmtId="0" fontId="29" fillId="6" borderId="148" xfId="13" applyNumberFormat="1" applyFont="1" applyFill="1" applyBorder="1" applyAlignment="1" applyProtection="1">
      <alignment horizontal="center" vertical="center" shrinkToFit="1"/>
      <protection locked="0"/>
    </xf>
    <xf numFmtId="0" fontId="29" fillId="6" borderId="66" xfId="13" applyNumberFormat="1" applyFont="1" applyFill="1" applyBorder="1" applyAlignment="1" applyProtection="1">
      <alignment horizontal="center" vertical="center" shrinkToFit="1"/>
      <protection locked="0"/>
    </xf>
    <xf numFmtId="6" fontId="5" fillId="4" borderId="6" xfId="4" applyNumberFormat="1" applyFont="1" applyFill="1" applyBorder="1" applyAlignment="1" applyProtection="1">
      <alignment horizontal="center" vertical="center"/>
      <protection hidden="1"/>
    </xf>
    <xf numFmtId="6" fontId="30" fillId="19" borderId="6" xfId="5" applyFont="1" applyFill="1" applyBorder="1" applyAlignment="1" applyProtection="1">
      <alignment horizontal="center" vertical="center" shrinkToFit="1"/>
    </xf>
    <xf numFmtId="0" fontId="30" fillId="19" borderId="6" xfId="5" applyNumberFormat="1" applyFont="1" applyFill="1" applyBorder="1" applyAlignment="1" applyProtection="1">
      <alignment horizontal="center" vertical="center" shrinkToFit="1"/>
    </xf>
    <xf numFmtId="0" fontId="30" fillId="19" borderId="6" xfId="4" applyFont="1" applyFill="1" applyBorder="1" applyAlignment="1">
      <alignment horizontal="center" vertical="center" shrinkToFit="1"/>
    </xf>
    <xf numFmtId="0" fontId="30" fillId="19" borderId="3" xfId="4" applyFont="1" applyFill="1" applyBorder="1" applyAlignment="1">
      <alignment horizontal="center" vertical="center" shrinkToFit="1"/>
    </xf>
    <xf numFmtId="0" fontId="34" fillId="2" borderId="267" xfId="4" applyFont="1" applyFill="1" applyBorder="1" applyAlignment="1">
      <alignment horizontal="center" vertical="center" shrinkToFit="1"/>
    </xf>
    <xf numFmtId="0" fontId="34" fillId="2" borderId="11" xfId="4" applyFont="1" applyFill="1" applyBorder="1" applyAlignment="1">
      <alignment horizontal="center" vertical="center" shrinkToFit="1"/>
    </xf>
    <xf numFmtId="0" fontId="34" fillId="2" borderId="230" xfId="4" applyFont="1" applyFill="1" applyBorder="1" applyAlignment="1">
      <alignment horizontal="center" vertical="center" shrinkToFit="1"/>
    </xf>
    <xf numFmtId="0" fontId="34" fillId="2" borderId="148" xfId="4" applyFont="1" applyFill="1" applyBorder="1" applyAlignment="1">
      <alignment horizontal="center" vertical="center" shrinkToFit="1"/>
    </xf>
    <xf numFmtId="0" fontId="30" fillId="0" borderId="11" xfId="4" applyFont="1" applyBorder="1" applyAlignment="1">
      <alignment horizontal="center" vertical="center"/>
    </xf>
    <xf numFmtId="0" fontId="30" fillId="0" borderId="148" xfId="4" applyFont="1" applyBorder="1" applyAlignment="1">
      <alignment horizontal="center" vertical="center"/>
    </xf>
    <xf numFmtId="0" fontId="30" fillId="0" borderId="11" xfId="4" applyFont="1" applyBorder="1" applyAlignment="1">
      <alignment horizontal="center" vertical="center" wrapText="1"/>
    </xf>
    <xf numFmtId="0" fontId="30" fillId="0" borderId="85" xfId="4" applyFont="1" applyBorder="1" applyAlignment="1">
      <alignment horizontal="center" vertical="center" wrapText="1"/>
    </xf>
    <xf numFmtId="0" fontId="30" fillId="0" borderId="148" xfId="4" applyFont="1" applyBorder="1" applyAlignment="1">
      <alignment horizontal="center" vertical="center" wrapText="1"/>
    </xf>
    <xf numFmtId="0" fontId="30" fillId="0" borderId="207" xfId="4" applyFont="1" applyBorder="1" applyAlignment="1">
      <alignment horizontal="center" vertical="center" wrapText="1"/>
    </xf>
    <xf numFmtId="0" fontId="34" fillId="0" borderId="30" xfId="4" applyFont="1" applyBorder="1" applyAlignment="1">
      <alignment horizontal="center" vertical="center" shrinkToFit="1"/>
    </xf>
    <xf numFmtId="0" fontId="34" fillId="0" borderId="31" xfId="4" applyFont="1" applyBorder="1" applyAlignment="1">
      <alignment horizontal="center" vertical="center" shrinkToFit="1"/>
    </xf>
    <xf numFmtId="0" fontId="34" fillId="0" borderId="62" xfId="4" applyFont="1" applyBorder="1" applyAlignment="1">
      <alignment horizontal="center" vertical="center" shrinkToFit="1"/>
    </xf>
    <xf numFmtId="0" fontId="34" fillId="0" borderId="35" xfId="4" applyFont="1" applyBorder="1" applyAlignment="1">
      <alignment horizontal="center" vertical="center" shrinkToFit="1"/>
    </xf>
    <xf numFmtId="0" fontId="34" fillId="19" borderId="82" xfId="4" applyFont="1" applyFill="1" applyBorder="1" applyAlignment="1">
      <alignment horizontal="center" vertical="center" shrinkToFit="1"/>
    </xf>
    <xf numFmtId="0" fontId="34" fillId="19" borderId="6" xfId="4" applyFont="1" applyFill="1" applyBorder="1" applyAlignment="1">
      <alignment horizontal="center" vertical="center" shrinkToFit="1"/>
    </xf>
    <xf numFmtId="6" fontId="30" fillId="19" borderId="117" xfId="5" applyFont="1" applyFill="1" applyBorder="1" applyAlignment="1" applyProtection="1">
      <alignment horizontal="center" vertical="center" wrapText="1" shrinkToFit="1"/>
    </xf>
    <xf numFmtId="6" fontId="30" fillId="19" borderId="23" xfId="5" applyFont="1" applyFill="1" applyBorder="1" applyAlignment="1" applyProtection="1">
      <alignment horizontal="center" vertical="center" wrapText="1" shrinkToFit="1"/>
    </xf>
    <xf numFmtId="6" fontId="30" fillId="19" borderId="151" xfId="5" applyFont="1" applyFill="1" applyBorder="1" applyAlignment="1" applyProtection="1">
      <alignment horizontal="center" vertical="center" wrapText="1" shrinkToFit="1"/>
    </xf>
    <xf numFmtId="6" fontId="30" fillId="19" borderId="78" xfId="5" applyFont="1" applyFill="1" applyBorder="1" applyAlignment="1" applyProtection="1">
      <alignment horizontal="center" vertical="center" wrapText="1" shrinkToFit="1"/>
    </xf>
    <xf numFmtId="6" fontId="30" fillId="19" borderId="36" xfId="5" applyFont="1" applyFill="1" applyBorder="1" applyAlignment="1" applyProtection="1">
      <alignment horizontal="center" vertical="center" wrapText="1" shrinkToFit="1"/>
    </xf>
    <xf numFmtId="6" fontId="30" fillId="19" borderId="54" xfId="5" applyFont="1" applyFill="1" applyBorder="1" applyAlignment="1" applyProtection="1">
      <alignment horizontal="center" vertical="center" wrapText="1" shrinkToFit="1"/>
    </xf>
    <xf numFmtId="0" fontId="30" fillId="19" borderId="141" xfId="4" applyFont="1" applyFill="1" applyBorder="1" applyAlignment="1">
      <alignment horizontal="center" vertical="center" shrinkToFit="1"/>
    </xf>
    <xf numFmtId="0" fontId="30" fillId="19" borderId="141" xfId="5" applyNumberFormat="1" applyFont="1" applyFill="1" applyBorder="1" applyAlignment="1" applyProtection="1">
      <alignment horizontal="center" vertical="center" shrinkToFit="1"/>
    </xf>
    <xf numFmtId="0" fontId="30" fillId="19" borderId="152" xfId="5" applyNumberFormat="1" applyFont="1" applyFill="1" applyBorder="1" applyAlignment="1" applyProtection="1">
      <alignment horizontal="center" vertical="center" shrinkToFit="1"/>
    </xf>
    <xf numFmtId="0" fontId="34" fillId="19" borderId="159" xfId="4" applyFont="1" applyFill="1" applyBorder="1" applyAlignment="1">
      <alignment horizontal="center" vertical="center" shrinkToFit="1"/>
    </xf>
    <xf numFmtId="0" fontId="34" fillId="19" borderId="23" xfId="4" applyFont="1" applyFill="1" applyBorder="1" applyAlignment="1">
      <alignment horizontal="center" vertical="center" shrinkToFit="1"/>
    </xf>
    <xf numFmtId="0" fontId="34" fillId="19" borderId="134" xfId="4" applyFont="1" applyFill="1" applyBorder="1" applyAlignment="1">
      <alignment horizontal="center" vertical="center" shrinkToFit="1"/>
    </xf>
    <xf numFmtId="0" fontId="34" fillId="19" borderId="160" xfId="4" applyFont="1" applyFill="1" applyBorder="1" applyAlignment="1">
      <alignment horizontal="center" vertical="center" shrinkToFit="1"/>
    </xf>
    <xf numFmtId="0" fontId="34" fillId="19" borderId="156" xfId="4" applyFont="1" applyFill="1" applyBorder="1" applyAlignment="1">
      <alignment horizontal="center" vertical="center" shrinkToFit="1"/>
    </xf>
    <xf numFmtId="0" fontId="34" fillId="0" borderId="275" xfId="4" applyFont="1" applyBorder="1" applyAlignment="1">
      <alignment horizontal="center" vertical="center" shrinkToFit="1"/>
    </xf>
    <xf numFmtId="0" fontId="34" fillId="0" borderId="38" xfId="4" applyFont="1" applyBorder="1" applyAlignment="1">
      <alignment horizontal="center" vertical="center" shrinkToFit="1"/>
    </xf>
    <xf numFmtId="0" fontId="30" fillId="0" borderId="273" xfId="4" applyFont="1" applyBorder="1" applyAlignment="1">
      <alignment horizontal="center" vertical="center"/>
    </xf>
    <xf numFmtId="0" fontId="30" fillId="0" borderId="275" xfId="4" applyFont="1" applyBorder="1" applyAlignment="1">
      <alignment horizontal="center" vertical="center"/>
    </xf>
    <xf numFmtId="0" fontId="34" fillId="7" borderId="37" xfId="4" applyFont="1" applyFill="1" applyBorder="1" applyAlignment="1">
      <alignment horizontal="center" vertical="center"/>
    </xf>
    <xf numFmtId="0" fontId="34" fillId="7" borderId="282" xfId="4" applyFont="1" applyFill="1" applyBorder="1" applyAlignment="1">
      <alignment horizontal="center" vertical="center"/>
    </xf>
    <xf numFmtId="0" fontId="34" fillId="7" borderId="273" xfId="4" applyFont="1" applyFill="1" applyBorder="1" applyAlignment="1">
      <alignment horizontal="center" vertical="center"/>
    </xf>
    <xf numFmtId="0" fontId="34" fillId="7" borderId="275" xfId="4" applyFont="1" applyFill="1" applyBorder="1" applyAlignment="1">
      <alignment horizontal="center" vertical="center"/>
    </xf>
    <xf numFmtId="0" fontId="30" fillId="0" borderId="5" xfId="4" applyFont="1" applyBorder="1" applyAlignment="1">
      <alignment horizontal="left" vertical="center" shrinkToFit="1"/>
    </xf>
    <xf numFmtId="0" fontId="30" fillId="0" borderId="54" xfId="4" applyFont="1" applyBorder="1" applyAlignment="1">
      <alignment horizontal="left" vertical="center" shrinkToFit="1"/>
    </xf>
    <xf numFmtId="0" fontId="30" fillId="0" borderId="36" xfId="5" applyNumberFormat="1" applyFont="1" applyBorder="1" applyAlignment="1" applyProtection="1">
      <alignment horizontal="left" vertical="center"/>
    </xf>
    <xf numFmtId="6" fontId="30" fillId="0" borderId="36" xfId="5" applyFont="1" applyBorder="1" applyAlignment="1" applyProtection="1">
      <alignment horizontal="left" vertical="center"/>
    </xf>
    <xf numFmtId="6" fontId="30" fillId="0" borderId="54" xfId="5" applyFont="1" applyBorder="1" applyAlignment="1" applyProtection="1">
      <alignment horizontal="left" vertical="center"/>
    </xf>
    <xf numFmtId="0" fontId="30" fillId="0" borderId="269" xfId="4" applyFont="1" applyBorder="1" applyAlignment="1">
      <alignment horizontal="left" vertical="center" wrapText="1"/>
    </xf>
    <xf numFmtId="0" fontId="30" fillId="0" borderId="269" xfId="4" applyFont="1" applyBorder="1" applyAlignment="1">
      <alignment horizontal="left" vertical="center"/>
    </xf>
    <xf numFmtId="6" fontId="34" fillId="0" borderId="264" xfId="13" applyFont="1" applyFill="1" applyBorder="1" applyAlignment="1" applyProtection="1">
      <alignment horizontal="right" vertical="center" shrinkToFit="1"/>
      <protection locked="0"/>
    </xf>
    <xf numFmtId="0" fontId="29" fillId="0" borderId="245" xfId="0" applyFont="1" applyBorder="1" applyAlignment="1">
      <alignment horizontal="right" vertical="center" shrinkToFit="1"/>
    </xf>
    <xf numFmtId="0" fontId="29" fillId="0" borderId="245" xfId="0" applyFont="1" applyBorder="1" applyAlignment="1" applyProtection="1">
      <alignment horizontal="left" vertical="center" shrinkToFit="1"/>
      <protection locked="0"/>
    </xf>
    <xf numFmtId="0" fontId="29" fillId="0" borderId="265" xfId="0" applyFont="1" applyBorder="1" applyAlignment="1" applyProtection="1">
      <alignment horizontal="left" vertical="center" shrinkToFit="1"/>
      <protection locked="0"/>
    </xf>
    <xf numFmtId="0" fontId="29" fillId="0" borderId="263" xfId="4" applyFont="1" applyBorder="1" applyAlignment="1" applyProtection="1">
      <alignment horizontal="center" vertical="center" shrinkToFit="1"/>
      <protection locked="0"/>
    </xf>
    <xf numFmtId="0" fontId="29" fillId="0" borderId="245" xfId="4" applyFont="1" applyBorder="1" applyAlignment="1" applyProtection="1">
      <alignment horizontal="center" vertical="center" shrinkToFit="1"/>
      <protection locked="0"/>
    </xf>
    <xf numFmtId="0" fontId="29" fillId="0" borderId="256" xfId="4" applyFont="1" applyBorder="1" applyAlignment="1" applyProtection="1">
      <alignment horizontal="center" vertical="center" shrinkToFit="1"/>
      <protection locked="0"/>
    </xf>
    <xf numFmtId="0" fontId="29" fillId="0" borderId="264" xfId="4" applyFont="1" applyBorder="1" applyAlignment="1">
      <alignment horizontal="center" vertical="center"/>
    </xf>
    <xf numFmtId="0" fontId="30" fillId="0" borderId="272" xfId="4" applyFont="1" applyBorder="1" applyAlignment="1">
      <alignment horizontal="center" vertical="center" shrinkToFit="1"/>
    </xf>
    <xf numFmtId="0" fontId="30" fillId="0" borderId="273" xfId="4" applyFont="1" applyBorder="1" applyAlignment="1">
      <alignment horizontal="center" vertical="center" shrinkToFit="1"/>
    </xf>
    <xf numFmtId="0" fontId="30" fillId="0" borderId="40" xfId="4" applyFont="1" applyBorder="1" applyAlignment="1">
      <alignment horizontal="center" vertical="center" shrinkToFit="1"/>
    </xf>
    <xf numFmtId="0" fontId="30" fillId="0" borderId="41" xfId="4" applyFont="1" applyBorder="1" applyAlignment="1">
      <alignment horizontal="center" vertical="center" shrinkToFit="1"/>
    </xf>
    <xf numFmtId="0" fontId="43" fillId="0" borderId="291" xfId="4" applyFont="1" applyBorder="1" applyAlignment="1" applyProtection="1">
      <alignment horizontal="left" vertical="center" shrinkToFit="1"/>
      <protection locked="0"/>
    </xf>
    <xf numFmtId="0" fontId="43" fillId="0" borderId="231" xfId="4" applyFont="1" applyBorder="1" applyAlignment="1" applyProtection="1">
      <alignment horizontal="left" vertical="center" shrinkToFit="1"/>
      <protection locked="0"/>
    </xf>
    <xf numFmtId="0" fontId="43" fillId="0" borderId="291" xfId="4" applyFont="1" applyBorder="1" applyAlignment="1">
      <alignment horizontal="center" vertical="center" shrinkToFit="1"/>
    </xf>
    <xf numFmtId="0" fontId="43" fillId="0" borderId="231" xfId="4" applyFont="1" applyBorder="1" applyAlignment="1">
      <alignment horizontal="center" vertical="center" shrinkToFit="1"/>
    </xf>
    <xf numFmtId="0" fontId="43" fillId="0" borderId="333" xfId="4" applyFont="1" applyBorder="1" applyAlignment="1">
      <alignment horizontal="center" vertical="center" shrinkToFit="1"/>
    </xf>
    <xf numFmtId="0" fontId="43" fillId="0" borderId="334" xfId="4" applyFont="1" applyBorder="1" applyAlignment="1" applyProtection="1">
      <alignment horizontal="left" vertical="center" wrapText="1"/>
      <protection locked="0"/>
    </xf>
    <xf numFmtId="0" fontId="43" fillId="0" borderId="231" xfId="4" applyFont="1" applyBorder="1" applyAlignment="1" applyProtection="1">
      <alignment horizontal="left" vertical="center" wrapText="1"/>
      <protection locked="0"/>
    </xf>
    <xf numFmtId="0" fontId="43" fillId="0" borderId="335" xfId="4" applyFont="1" applyBorder="1" applyAlignment="1" applyProtection="1">
      <alignment horizontal="left" vertical="center" wrapText="1"/>
      <protection locked="0"/>
    </xf>
    <xf numFmtId="0" fontId="43" fillId="0" borderId="211" xfId="4" applyFont="1" applyBorder="1" applyAlignment="1">
      <alignment horizontal="center" vertical="center"/>
    </xf>
    <xf numFmtId="0" fontId="43" fillId="0" borderId="23" xfId="4" applyFont="1" applyBorder="1" applyAlignment="1">
      <alignment horizontal="center" vertical="center"/>
    </xf>
    <xf numFmtId="0" fontId="43" fillId="0" borderId="332" xfId="4" applyFont="1" applyBorder="1" applyAlignment="1">
      <alignment horizontal="center" vertical="center"/>
    </xf>
    <xf numFmtId="0" fontId="43" fillId="0" borderId="246" xfId="4" applyFont="1" applyBorder="1" applyAlignment="1">
      <alignment horizontal="center" vertical="center"/>
    </xf>
    <xf numFmtId="10" fontId="34" fillId="0" borderId="264" xfId="5" applyNumberFormat="1" applyFont="1" applyBorder="1" applyAlignment="1" applyProtection="1">
      <alignment horizontal="right" vertical="center" shrinkToFit="1"/>
      <protection locked="0"/>
    </xf>
    <xf numFmtId="6" fontId="34" fillId="0" borderId="264" xfId="13" applyFont="1" applyBorder="1" applyAlignment="1" applyProtection="1">
      <alignment horizontal="right" vertical="center" shrinkToFit="1"/>
      <protection locked="0"/>
    </xf>
    <xf numFmtId="0" fontId="42" fillId="2" borderId="201" xfId="4" applyFont="1" applyFill="1" applyBorder="1" applyAlignment="1">
      <alignment horizontal="center" vertical="center" shrinkToFit="1"/>
    </xf>
    <xf numFmtId="0" fontId="42" fillId="2" borderId="194" xfId="4" applyFont="1" applyFill="1" applyBorder="1" applyAlignment="1">
      <alignment horizontal="center" vertical="center" shrinkToFit="1"/>
    </xf>
    <xf numFmtId="0" fontId="42" fillId="2" borderId="195" xfId="4" applyFont="1" applyFill="1" applyBorder="1" applyAlignment="1">
      <alignment horizontal="center" vertical="center" shrinkToFit="1"/>
    </xf>
    <xf numFmtId="0" fontId="42" fillId="2" borderId="33" xfId="4" applyFont="1" applyFill="1" applyBorder="1" applyAlignment="1">
      <alignment horizontal="center" vertical="center" shrinkToFit="1"/>
    </xf>
    <xf numFmtId="0" fontId="42" fillId="2" borderId="0" xfId="4" applyFont="1" applyFill="1" applyAlignment="1">
      <alignment horizontal="center" vertical="center" shrinkToFit="1"/>
    </xf>
    <xf numFmtId="0" fontId="42" fillId="2" borderId="38" xfId="4" applyFont="1" applyFill="1" applyBorder="1" applyAlignment="1">
      <alignment horizontal="center" vertical="center" shrinkToFit="1"/>
    </xf>
    <xf numFmtId="0" fontId="42" fillId="2" borderId="35" xfId="4" applyFont="1" applyFill="1" applyBorder="1" applyAlignment="1">
      <alignment horizontal="center" vertical="center" shrinkToFit="1"/>
    </xf>
    <xf numFmtId="0" fontId="42" fillId="2" borderId="36" xfId="4" applyFont="1" applyFill="1" applyBorder="1" applyAlignment="1">
      <alignment horizontal="center" vertical="center" shrinkToFit="1"/>
    </xf>
    <xf numFmtId="0" fontId="42" fillId="2" borderId="54" xfId="4" applyFont="1" applyFill="1" applyBorder="1" applyAlignment="1">
      <alignment horizontal="center" vertical="center" shrinkToFit="1"/>
    </xf>
    <xf numFmtId="10" fontId="34" fillId="0" borderId="193" xfId="6" applyNumberFormat="1" applyFont="1" applyFill="1" applyBorder="1" applyAlignment="1" applyProtection="1">
      <alignment horizontal="right" vertical="center" shrinkToFit="1"/>
      <protection locked="0"/>
    </xf>
    <xf numFmtId="10" fontId="34" fillId="0" borderId="194" xfId="6" applyNumberFormat="1" applyFont="1" applyFill="1" applyBorder="1" applyAlignment="1" applyProtection="1">
      <alignment horizontal="right" vertical="center" shrinkToFit="1"/>
      <protection locked="0"/>
    </xf>
    <xf numFmtId="10" fontId="34" fillId="0" borderId="195" xfId="6" applyNumberFormat="1" applyFont="1" applyFill="1" applyBorder="1" applyAlignment="1" applyProtection="1">
      <alignment horizontal="right" vertical="center" shrinkToFit="1"/>
      <protection locked="0"/>
    </xf>
    <xf numFmtId="6" fontId="34" fillId="0" borderId="193" xfId="13" applyFont="1" applyFill="1" applyBorder="1" applyAlignment="1" applyProtection="1">
      <alignment horizontal="right" vertical="center" shrinkToFit="1"/>
      <protection locked="0"/>
    </xf>
    <xf numFmtId="6" fontId="34" fillId="0" borderId="194" xfId="13" applyFont="1" applyFill="1" applyBorder="1" applyAlignment="1" applyProtection="1">
      <alignment horizontal="right" vertical="center" shrinkToFit="1"/>
      <protection locked="0"/>
    </xf>
    <xf numFmtId="6" fontId="34" fillId="0" borderId="195" xfId="13" applyFont="1" applyFill="1" applyBorder="1" applyAlignment="1" applyProtection="1">
      <alignment horizontal="right" vertical="center" shrinkToFit="1"/>
      <protection locked="0"/>
    </xf>
    <xf numFmtId="0" fontId="41" fillId="0" borderId="193" xfId="4" applyFont="1" applyBorder="1" applyAlignment="1">
      <alignment vertical="center" shrinkToFit="1"/>
    </xf>
    <xf numFmtId="0" fontId="41" fillId="0" borderId="194" xfId="4" applyFont="1" applyBorder="1" applyAlignment="1">
      <alignment vertical="center" shrinkToFit="1"/>
    </xf>
    <xf numFmtId="0" fontId="41" fillId="0" borderId="131" xfId="4" applyFont="1" applyBorder="1" applyAlignment="1">
      <alignment vertical="center" shrinkToFit="1"/>
    </xf>
    <xf numFmtId="0" fontId="29" fillId="0" borderId="117" xfId="4" applyFont="1" applyBorder="1" applyAlignment="1" applyProtection="1">
      <alignment horizontal="center" vertical="center" shrinkToFit="1"/>
      <protection locked="0"/>
    </xf>
    <xf numFmtId="0" fontId="29" fillId="0" borderId="23" xfId="4" applyFont="1" applyBorder="1" applyAlignment="1" applyProtection="1">
      <alignment horizontal="center" vertical="center" shrinkToFit="1"/>
      <protection locked="0"/>
    </xf>
    <xf numFmtId="0" fontId="29" fillId="0" borderId="151" xfId="4" applyFont="1" applyBorder="1" applyAlignment="1" applyProtection="1">
      <alignment horizontal="center" vertical="center" shrinkToFit="1"/>
      <protection locked="0"/>
    </xf>
    <xf numFmtId="0" fontId="29" fillId="0" borderId="302" xfId="4" applyFont="1" applyBorder="1">
      <alignment vertical="center"/>
    </xf>
    <xf numFmtId="6" fontId="34" fillId="0" borderId="211" xfId="13" applyFont="1" applyFill="1" applyBorder="1" applyAlignment="1" applyProtection="1">
      <alignment horizontal="right" vertical="center" shrinkToFit="1"/>
      <protection locked="0"/>
    </xf>
    <xf numFmtId="6" fontId="34" fillId="0" borderId="23" xfId="13" applyFont="1" applyFill="1" applyBorder="1" applyAlignment="1" applyProtection="1">
      <alignment horizontal="right" vertical="center" shrinkToFit="1"/>
      <protection locked="0"/>
    </xf>
    <xf numFmtId="6" fontId="34" fillId="0" borderId="151" xfId="13" applyFont="1" applyFill="1" applyBorder="1" applyAlignment="1" applyProtection="1">
      <alignment horizontal="right" vertical="center" shrinkToFit="1"/>
      <protection locked="0"/>
    </xf>
    <xf numFmtId="10" fontId="34" fillId="0" borderId="211" xfId="6" applyNumberFormat="1" applyFont="1" applyFill="1" applyBorder="1" applyAlignment="1" applyProtection="1">
      <alignment horizontal="right" vertical="center" shrinkToFit="1"/>
      <protection locked="0"/>
    </xf>
    <xf numFmtId="10" fontId="34" fillId="0" borderId="23" xfId="6" applyNumberFormat="1" applyFont="1" applyFill="1" applyBorder="1" applyAlignment="1" applyProtection="1">
      <alignment horizontal="right" vertical="center" shrinkToFit="1"/>
      <protection locked="0"/>
    </xf>
    <xf numFmtId="10" fontId="34" fillId="0" borderId="151" xfId="6" applyNumberFormat="1" applyFont="1" applyFill="1" applyBorder="1" applyAlignment="1" applyProtection="1">
      <alignment horizontal="right" vertical="center" shrinkToFit="1"/>
      <protection locked="0"/>
    </xf>
    <xf numFmtId="0" fontId="29" fillId="0" borderId="194" xfId="4" applyFont="1" applyBorder="1" applyAlignment="1" applyProtection="1">
      <alignment horizontal="center" vertical="center" shrinkToFit="1"/>
      <protection locked="0"/>
    </xf>
    <xf numFmtId="0" fontId="29" fillId="0" borderId="195" xfId="4" applyFont="1" applyBorder="1" applyAlignment="1" applyProtection="1">
      <alignment horizontal="center" vertical="center" shrinkToFit="1"/>
      <protection locked="0"/>
    </xf>
    <xf numFmtId="0" fontId="29" fillId="0" borderId="9" xfId="4" applyFont="1" applyBorder="1">
      <alignment vertical="center"/>
    </xf>
    <xf numFmtId="0" fontId="41" fillId="0" borderId="211" xfId="4" applyFont="1" applyBorder="1" applyAlignment="1">
      <alignment vertical="center" shrinkToFit="1"/>
    </xf>
    <xf numFmtId="0" fontId="41" fillId="0" borderId="23" xfId="4" applyFont="1" applyBorder="1" applyAlignment="1">
      <alignment vertical="center" shrinkToFit="1"/>
    </xf>
    <xf numFmtId="0" fontId="41" fillId="0" borderId="134" xfId="4" applyFont="1" applyBorder="1" applyAlignment="1">
      <alignment vertical="center" shrinkToFit="1"/>
    </xf>
    <xf numFmtId="10" fontId="34" fillId="0" borderId="257" xfId="6" applyNumberFormat="1" applyFont="1" applyFill="1" applyBorder="1" applyAlignment="1" applyProtection="1">
      <alignment horizontal="right" vertical="center" shrinkToFit="1"/>
      <protection locked="0"/>
    </xf>
    <xf numFmtId="10" fontId="34" fillId="0" borderId="245" xfId="6" applyNumberFormat="1" applyFont="1" applyFill="1" applyBorder="1" applyAlignment="1" applyProtection="1">
      <alignment horizontal="right" vertical="center" shrinkToFit="1"/>
      <protection locked="0"/>
    </xf>
    <xf numFmtId="10" fontId="34" fillId="0" borderId="256" xfId="6" applyNumberFormat="1" applyFont="1" applyFill="1" applyBorder="1" applyAlignment="1" applyProtection="1">
      <alignment horizontal="right" vertical="center" shrinkToFit="1"/>
      <protection locked="0"/>
    </xf>
    <xf numFmtId="6" fontId="34" fillId="0" borderId="257" xfId="13" applyFont="1" applyFill="1" applyBorder="1" applyAlignment="1" applyProtection="1">
      <alignment horizontal="right" vertical="center" shrinkToFit="1"/>
      <protection locked="0"/>
    </xf>
    <xf numFmtId="6" fontId="34" fillId="0" borderId="245" xfId="13" applyFont="1" applyFill="1" applyBorder="1" applyAlignment="1" applyProtection="1">
      <alignment horizontal="right" vertical="center" shrinkToFit="1"/>
      <protection locked="0"/>
    </xf>
    <xf numFmtId="6" fontId="34" fillId="0" borderId="256" xfId="13" applyFont="1" applyFill="1" applyBorder="1" applyAlignment="1" applyProtection="1">
      <alignment horizontal="right" vertical="center" shrinkToFit="1"/>
      <protection locked="0"/>
    </xf>
    <xf numFmtId="0" fontId="29" fillId="0" borderId="264" xfId="4" applyFont="1" applyBorder="1" applyAlignment="1">
      <alignment vertical="center" shrinkToFit="1"/>
    </xf>
    <xf numFmtId="0" fontId="132" fillId="0" borderId="264" xfId="0" applyFont="1" applyBorder="1" applyAlignment="1">
      <alignment vertical="center" shrinkToFit="1"/>
    </xf>
    <xf numFmtId="0" fontId="132" fillId="0" borderId="294" xfId="0" applyFont="1" applyBorder="1" applyAlignment="1">
      <alignment vertical="center" shrinkToFit="1"/>
    </xf>
    <xf numFmtId="0" fontId="30" fillId="0" borderId="8" xfId="4" applyFont="1" applyBorder="1" applyAlignment="1" applyProtection="1">
      <alignment horizontal="left" vertical="center" indent="1"/>
      <protection locked="0"/>
    </xf>
    <xf numFmtId="0" fontId="30" fillId="0" borderId="0" xfId="4" applyFont="1" applyAlignment="1" applyProtection="1">
      <alignment horizontal="left" vertical="center" indent="1"/>
      <protection locked="0"/>
    </xf>
    <xf numFmtId="0" fontId="30" fillId="0" borderId="38" xfId="4" applyFont="1" applyBorder="1" applyAlignment="1" applyProtection="1">
      <alignment horizontal="left" vertical="center" indent="1"/>
      <protection locked="0"/>
    </xf>
    <xf numFmtId="0" fontId="30" fillId="0" borderId="8" xfId="4" applyFont="1" applyBorder="1" applyAlignment="1">
      <alignment horizontal="center" vertical="center"/>
    </xf>
    <xf numFmtId="0" fontId="30" fillId="0" borderId="88" xfId="4" applyFont="1" applyBorder="1" applyAlignment="1">
      <alignment horizontal="center" vertical="center"/>
    </xf>
    <xf numFmtId="0" fontId="30" fillId="0" borderId="89" xfId="4" applyFont="1" applyBorder="1" applyAlignment="1" applyProtection="1">
      <alignment horizontal="left" vertical="center" shrinkToFit="1"/>
      <protection locked="0"/>
    </xf>
    <xf numFmtId="0" fontId="30" fillId="0" borderId="0" xfId="4" applyFont="1" applyAlignment="1" applyProtection="1">
      <alignment horizontal="left" vertical="center" shrinkToFit="1"/>
      <protection locked="0"/>
    </xf>
    <xf numFmtId="0" fontId="30" fillId="0" borderId="38" xfId="4" applyFont="1" applyBorder="1" applyAlignment="1" applyProtection="1">
      <alignment horizontal="left" vertical="center" shrinkToFit="1"/>
      <protection locked="0"/>
    </xf>
    <xf numFmtId="0" fontId="52" fillId="0" borderId="36" xfId="4" applyFont="1" applyBorder="1" applyAlignment="1" applyProtection="1">
      <alignment horizontal="right" vertical="center"/>
      <protection hidden="1"/>
    </xf>
    <xf numFmtId="0" fontId="29" fillId="0" borderId="263" xfId="4" applyFont="1" applyBorder="1" applyAlignment="1">
      <alignment horizontal="center" vertical="center" shrinkToFit="1"/>
    </xf>
    <xf numFmtId="0" fontId="29" fillId="0" borderId="245" xfId="4" applyFont="1" applyBorder="1" applyAlignment="1">
      <alignment horizontal="center" vertical="center" shrinkToFit="1"/>
    </xf>
    <xf numFmtId="0" fontId="29" fillId="0" borderId="256" xfId="4" applyFont="1" applyBorder="1" applyAlignment="1">
      <alignment horizontal="center" vertical="center" shrinkToFit="1"/>
    </xf>
    <xf numFmtId="0" fontId="29" fillId="0" borderId="264" xfId="4" applyFont="1" applyBorder="1">
      <alignment vertical="center"/>
    </xf>
    <xf numFmtId="10" fontId="34" fillId="0" borderId="264" xfId="6" applyNumberFormat="1" applyFont="1" applyFill="1" applyBorder="1" applyAlignment="1" applyProtection="1">
      <alignment horizontal="right" vertical="center" shrinkToFit="1"/>
      <protection hidden="1"/>
    </xf>
    <xf numFmtId="0" fontId="29" fillId="0" borderId="257" xfId="4" applyFont="1" applyBorder="1" applyAlignment="1">
      <alignment horizontal="right" vertical="center" shrinkToFit="1"/>
    </xf>
    <xf numFmtId="0" fontId="29" fillId="0" borderId="245" xfId="4" applyFont="1" applyBorder="1" applyAlignment="1">
      <alignment horizontal="right" vertical="center" shrinkToFit="1"/>
    </xf>
    <xf numFmtId="0" fontId="29" fillId="0" borderId="245" xfId="0" applyFont="1" applyBorder="1" applyAlignment="1" applyProtection="1">
      <alignment vertical="center" shrinkToFit="1"/>
      <protection locked="0"/>
    </xf>
    <xf numFmtId="0" fontId="29" fillId="0" borderId="265" xfId="0" applyFont="1" applyBorder="1" applyAlignment="1" applyProtection="1">
      <alignment vertical="center" shrinkToFit="1"/>
      <protection locked="0"/>
    </xf>
    <xf numFmtId="0" fontId="30" fillId="0" borderId="8" xfId="4" applyFont="1" applyBorder="1" applyAlignment="1">
      <alignment horizontal="center" vertical="center" shrinkToFit="1"/>
    </xf>
    <xf numFmtId="0" fontId="30" fillId="0" borderId="38" xfId="4" applyFont="1" applyBorder="1" applyAlignment="1">
      <alignment horizontal="center" vertical="center" shrinkToFit="1"/>
    </xf>
    <xf numFmtId="0" fontId="30" fillId="0" borderId="257" xfId="4" applyFont="1" applyBorder="1" applyAlignment="1" applyProtection="1">
      <alignment horizontal="left" vertical="center" indent="1"/>
      <protection locked="0"/>
    </xf>
    <xf numFmtId="0" fontId="30" fillId="0" borderId="245" xfId="4" applyFont="1" applyBorder="1" applyAlignment="1" applyProtection="1">
      <alignment horizontal="left" vertical="center" indent="1"/>
      <protection locked="0"/>
    </xf>
    <xf numFmtId="0" fontId="30" fillId="0" borderId="256" xfId="4" applyFont="1" applyBorder="1" applyAlignment="1" applyProtection="1">
      <alignment horizontal="left" vertical="center" indent="1"/>
      <protection locked="0"/>
    </xf>
    <xf numFmtId="10" fontId="30" fillId="0" borderId="260" xfId="6" applyNumberFormat="1" applyFont="1" applyFill="1" applyBorder="1" applyAlignment="1" applyProtection="1">
      <alignment horizontal="center" vertical="center" shrinkToFit="1"/>
    </xf>
    <xf numFmtId="10" fontId="30" fillId="0" borderId="157" xfId="6" applyNumberFormat="1" applyFont="1" applyFill="1" applyBorder="1" applyAlignment="1" applyProtection="1">
      <alignment horizontal="center" vertical="center" shrinkToFit="1"/>
    </xf>
    <xf numFmtId="10" fontId="30" fillId="0" borderId="259" xfId="6" applyNumberFormat="1" applyFont="1" applyFill="1" applyBorder="1" applyAlignment="1" applyProtection="1">
      <alignment horizontal="center" vertical="center" shrinkToFit="1"/>
    </xf>
    <xf numFmtId="6" fontId="30" fillId="0" borderId="157" xfId="13" applyFont="1" applyFill="1" applyBorder="1" applyAlignment="1" applyProtection="1">
      <alignment horizontal="center" vertical="center" shrinkToFit="1"/>
    </xf>
    <xf numFmtId="6" fontId="30" fillId="0" borderId="259" xfId="13" applyFont="1" applyFill="1" applyBorder="1" applyAlignment="1" applyProtection="1">
      <alignment horizontal="center" vertical="center" shrinkToFit="1"/>
    </xf>
    <xf numFmtId="0" fontId="42" fillId="64" borderId="282" xfId="4" applyFont="1" applyFill="1" applyBorder="1" applyAlignment="1">
      <alignment horizontal="center" vertical="center" shrinkToFit="1"/>
    </xf>
    <xf numFmtId="0" fontId="42" fillId="64" borderId="273" xfId="4" applyFont="1" applyFill="1" applyBorder="1" applyAlignment="1">
      <alignment horizontal="center" vertical="center" shrinkToFit="1"/>
    </xf>
    <xf numFmtId="0" fontId="42" fillId="64" borderId="275" xfId="4" applyFont="1" applyFill="1" applyBorder="1" applyAlignment="1">
      <alignment horizontal="center" vertical="center" shrinkToFit="1"/>
    </xf>
    <xf numFmtId="0" fontId="42" fillId="64" borderId="35" xfId="4" applyFont="1" applyFill="1" applyBorder="1" applyAlignment="1">
      <alignment horizontal="center" vertical="center" shrinkToFit="1"/>
    </xf>
    <xf numFmtId="0" fontId="42" fillId="64" borderId="36" xfId="4" applyFont="1" applyFill="1" applyBorder="1" applyAlignment="1">
      <alignment horizontal="center" vertical="center" shrinkToFit="1"/>
    </xf>
    <xf numFmtId="0" fontId="42" fillId="64" borderId="54" xfId="4" applyFont="1" applyFill="1" applyBorder="1" applyAlignment="1">
      <alignment horizontal="center" vertical="center" shrinkToFit="1"/>
    </xf>
    <xf numFmtId="0" fontId="29" fillId="8" borderId="263" xfId="4" applyFont="1" applyFill="1" applyBorder="1" applyAlignment="1" applyProtection="1">
      <alignment horizontal="center" vertical="center" shrinkToFit="1"/>
      <protection locked="0"/>
    </xf>
    <xf numFmtId="0" fontId="29" fillId="8" borderId="245" xfId="4" applyFont="1" applyFill="1" applyBorder="1" applyAlignment="1" applyProtection="1">
      <alignment horizontal="center" vertical="center" shrinkToFit="1"/>
      <protection locked="0"/>
    </xf>
    <xf numFmtId="0" fontId="29" fillId="8" borderId="256" xfId="4" applyFont="1" applyFill="1" applyBorder="1" applyAlignment="1" applyProtection="1">
      <alignment horizontal="center" vertical="center" shrinkToFit="1"/>
      <protection locked="0"/>
    </xf>
    <xf numFmtId="0" fontId="29" fillId="8" borderId="264" xfId="4" applyFont="1" applyFill="1" applyBorder="1">
      <alignment vertical="center"/>
    </xf>
    <xf numFmtId="6" fontId="34" fillId="8" borderId="257" xfId="13" applyFont="1" applyFill="1" applyBorder="1" applyAlignment="1" applyProtection="1">
      <alignment horizontal="right" vertical="center" shrinkToFit="1"/>
      <protection locked="0"/>
    </xf>
    <xf numFmtId="6" fontId="34" fillId="8" borderId="245" xfId="13" applyFont="1" applyFill="1" applyBorder="1" applyAlignment="1" applyProtection="1">
      <alignment horizontal="right" vertical="center" shrinkToFit="1"/>
      <protection locked="0"/>
    </xf>
    <xf numFmtId="6" fontId="34" fillId="8" borderId="256" xfId="13" applyFont="1" applyFill="1" applyBorder="1" applyAlignment="1" applyProtection="1">
      <alignment horizontal="right" vertical="center" shrinkToFit="1"/>
      <protection locked="0"/>
    </xf>
    <xf numFmtId="10" fontId="34" fillId="8" borderId="264" xfId="6" applyNumberFormat="1" applyFont="1" applyFill="1" applyBorder="1" applyAlignment="1" applyProtection="1">
      <alignment horizontal="right" vertical="center" shrinkToFit="1"/>
      <protection locked="0" hidden="1"/>
    </xf>
    <xf numFmtId="10" fontId="34" fillId="8" borderId="257" xfId="6" applyNumberFormat="1" applyFont="1" applyFill="1" applyBorder="1" applyAlignment="1" applyProtection="1">
      <alignment horizontal="right" vertical="center" shrinkToFit="1"/>
      <protection locked="0"/>
    </xf>
    <xf numFmtId="10" fontId="34" fillId="8" borderId="245" xfId="6" applyNumberFormat="1" applyFont="1" applyFill="1" applyBorder="1" applyAlignment="1" applyProtection="1">
      <alignment horizontal="right" vertical="center" shrinkToFit="1"/>
      <protection locked="0"/>
    </xf>
    <xf numFmtId="10" fontId="34" fillId="8" borderId="256" xfId="6" applyNumberFormat="1" applyFont="1" applyFill="1" applyBorder="1" applyAlignment="1" applyProtection="1">
      <alignment horizontal="right" vertical="center" shrinkToFit="1"/>
      <protection locked="0"/>
    </xf>
    <xf numFmtId="0" fontId="30" fillId="0" borderId="0" xfId="4" applyFont="1" applyAlignment="1">
      <alignment horizontal="center" vertical="center"/>
    </xf>
    <xf numFmtId="0" fontId="30" fillId="0" borderId="38" xfId="4" applyFont="1" applyBorder="1" applyAlignment="1">
      <alignment horizontal="center" vertical="center"/>
    </xf>
    <xf numFmtId="0" fontId="30" fillId="0" borderId="89" xfId="4" applyFont="1" applyBorder="1" applyAlignment="1" applyProtection="1">
      <alignment horizontal="left" vertical="center"/>
      <protection locked="0"/>
    </xf>
    <xf numFmtId="0" fontId="30" fillId="0" borderId="0" xfId="4" applyFont="1" applyAlignment="1" applyProtection="1">
      <alignment horizontal="left" vertical="center"/>
      <protection locked="0"/>
    </xf>
    <xf numFmtId="0" fontId="30" fillId="0" borderId="38" xfId="4" applyFont="1" applyBorder="1" applyAlignment="1" applyProtection="1">
      <alignment horizontal="left" vertical="center"/>
      <protection locked="0"/>
    </xf>
    <xf numFmtId="10" fontId="34" fillId="0" borderId="143" xfId="5" applyNumberFormat="1" applyFont="1" applyBorder="1" applyAlignment="1" applyProtection="1">
      <alignment horizontal="right" vertical="center" shrinkToFit="1"/>
      <protection locked="0"/>
    </xf>
    <xf numFmtId="6" fontId="34" fillId="0" borderId="143" xfId="13" applyFont="1" applyBorder="1" applyAlignment="1" applyProtection="1">
      <alignment horizontal="right" vertical="center" shrinkToFit="1"/>
      <protection locked="0"/>
    </xf>
    <xf numFmtId="0" fontId="52" fillId="0" borderId="20" xfId="0" applyFont="1" applyBorder="1" applyAlignment="1">
      <alignment horizontal="center" vertical="center"/>
    </xf>
    <xf numFmtId="0" fontId="52" fillId="0" borderId="262" xfId="0" applyFont="1" applyBorder="1" applyAlignment="1">
      <alignment horizontal="center" vertical="center"/>
    </xf>
    <xf numFmtId="0" fontId="30" fillId="0" borderId="5" xfId="4" applyFont="1" applyBorder="1" applyAlignment="1">
      <alignment horizontal="center" vertical="center" shrinkToFit="1"/>
    </xf>
    <xf numFmtId="0" fontId="30" fillId="0" borderId="36" xfId="4" applyFont="1" applyBorder="1" applyAlignment="1">
      <alignment horizontal="center" vertical="center" shrinkToFit="1"/>
    </xf>
    <xf numFmtId="0" fontId="30" fillId="0" borderId="54" xfId="4" applyFont="1" applyBorder="1" applyAlignment="1">
      <alignment horizontal="center" vertical="center" shrinkToFit="1"/>
    </xf>
    <xf numFmtId="0" fontId="30" fillId="0" borderId="152" xfId="4" applyFont="1" applyBorder="1" applyAlignment="1">
      <alignment horizontal="center" vertical="center"/>
    </xf>
    <xf numFmtId="0" fontId="30" fillId="0" borderId="153" xfId="4" applyFont="1" applyBorder="1" applyAlignment="1">
      <alignment horizontal="center" vertical="center"/>
    </xf>
    <xf numFmtId="0" fontId="30" fillId="0" borderId="248"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left" vertical="center" indent="1" shrinkToFit="1"/>
      <protection locked="0"/>
    </xf>
    <xf numFmtId="0" fontId="30" fillId="0" borderId="154" xfId="13" applyNumberFormat="1" applyFont="1" applyFill="1" applyBorder="1" applyAlignment="1" applyProtection="1">
      <alignment horizontal="left" vertical="center" indent="1" shrinkToFit="1"/>
      <protection locked="0"/>
    </xf>
    <xf numFmtId="0" fontId="30" fillId="0" borderId="153" xfId="13" applyNumberFormat="1" applyFont="1" applyFill="1" applyBorder="1" applyAlignment="1" applyProtection="1">
      <alignment horizontal="center" vertical="center"/>
    </xf>
    <xf numFmtId="0" fontId="30" fillId="0" borderId="248" xfId="6" applyNumberFormat="1" applyFont="1" applyFill="1" applyBorder="1" applyAlignment="1" applyProtection="1">
      <alignment horizontal="left" vertical="center" shrinkToFit="1"/>
      <protection locked="0"/>
    </xf>
    <xf numFmtId="0" fontId="30" fillId="0" borderId="153" xfId="6" applyNumberFormat="1" applyFont="1" applyFill="1" applyBorder="1" applyAlignment="1" applyProtection="1">
      <alignment horizontal="left" vertical="center" shrinkToFit="1"/>
      <protection locked="0"/>
    </xf>
    <xf numFmtId="0" fontId="42" fillId="2" borderId="282" xfId="4" applyFont="1" applyFill="1" applyBorder="1" applyAlignment="1">
      <alignment horizontal="center" vertical="center" shrinkToFit="1"/>
    </xf>
    <xf numFmtId="0" fontId="42" fillId="2" borderId="273" xfId="4" applyFont="1" applyFill="1" applyBorder="1" applyAlignment="1">
      <alignment horizontal="center" vertical="center" shrinkToFit="1"/>
    </xf>
    <xf numFmtId="0" fontId="42" fillId="2" borderId="275" xfId="4" applyFont="1" applyFill="1" applyBorder="1" applyAlignment="1">
      <alignment horizontal="center" vertical="center" shrinkToFit="1"/>
    </xf>
    <xf numFmtId="0" fontId="30" fillId="0" borderId="269" xfId="4" applyFont="1" applyBorder="1" applyAlignment="1">
      <alignment horizontal="center" vertical="center" shrinkToFit="1"/>
    </xf>
    <xf numFmtId="0" fontId="30" fillId="0" borderId="270" xfId="4" applyFont="1" applyBorder="1" applyAlignment="1">
      <alignment horizontal="center" vertical="center" shrinkToFit="1"/>
    </xf>
    <xf numFmtId="0" fontId="30" fillId="0" borderId="271" xfId="4" applyFont="1" applyBorder="1" applyAlignment="1">
      <alignment horizontal="center" vertical="center" shrinkToFit="1"/>
    </xf>
    <xf numFmtId="0" fontId="30" fillId="0" borderId="273" xfId="4" applyFont="1" applyBorder="1" applyAlignment="1">
      <alignment horizontal="left" vertical="center"/>
    </xf>
    <xf numFmtId="6" fontId="30" fillId="0" borderId="273" xfId="5" applyFont="1" applyBorder="1" applyAlignment="1" applyProtection="1">
      <alignment horizontal="left" vertical="center" shrinkToFit="1"/>
    </xf>
    <xf numFmtId="6" fontId="30" fillId="0" borderId="275" xfId="5" applyFont="1" applyBorder="1" applyAlignment="1" applyProtection="1">
      <alignment horizontal="left" vertical="center" shrinkToFit="1"/>
    </xf>
    <xf numFmtId="0" fontId="29" fillId="8" borderId="264" xfId="4" applyFont="1" applyFill="1" applyBorder="1" applyAlignment="1">
      <alignment vertical="center" shrinkToFit="1"/>
    </xf>
    <xf numFmtId="0" fontId="132" fillId="8" borderId="264" xfId="0" applyFont="1" applyFill="1" applyBorder="1" applyAlignment="1">
      <alignment vertical="center" shrinkToFit="1"/>
    </xf>
    <xf numFmtId="0" fontId="132" fillId="8" borderId="294" xfId="0" applyFont="1" applyFill="1" applyBorder="1" applyAlignment="1">
      <alignment vertical="center" shrinkToFit="1"/>
    </xf>
    <xf numFmtId="10" fontId="34" fillId="0" borderId="6" xfId="5" applyNumberFormat="1" applyFont="1" applyBorder="1" applyAlignment="1" applyProtection="1">
      <alignment horizontal="right" vertical="center" shrinkToFit="1"/>
      <protection locked="0"/>
    </xf>
    <xf numFmtId="6" fontId="34" fillId="0" borderId="6" xfId="13" applyFont="1" applyBorder="1" applyAlignment="1" applyProtection="1">
      <alignment horizontal="right" vertical="center" shrinkToFit="1"/>
      <protection locked="0"/>
    </xf>
    <xf numFmtId="6" fontId="30" fillId="19" borderId="211" xfId="5" applyFont="1" applyFill="1" applyBorder="1" applyAlignment="1" applyProtection="1">
      <alignment horizontal="center" vertical="center" shrinkToFit="1"/>
    </xf>
    <xf numFmtId="6" fontId="30" fillId="19" borderId="23" xfId="5" applyFont="1" applyFill="1" applyBorder="1" applyAlignment="1" applyProtection="1">
      <alignment horizontal="center" vertical="center" shrinkToFit="1"/>
    </xf>
    <xf numFmtId="6" fontId="30" fillId="19" borderId="134" xfId="5" applyFont="1" applyFill="1" applyBorder="1" applyAlignment="1" applyProtection="1">
      <alignment horizontal="center" vertical="center" shrinkToFit="1"/>
    </xf>
    <xf numFmtId="6" fontId="30" fillId="19" borderId="5" xfId="5" applyFont="1" applyFill="1" applyBorder="1" applyAlignment="1" applyProtection="1">
      <alignment horizontal="center" vertical="center" shrinkToFit="1"/>
    </xf>
    <xf numFmtId="6" fontId="30" fillId="19" borderId="36" xfId="5" applyFont="1" applyFill="1" applyBorder="1" applyAlignment="1" applyProtection="1">
      <alignment horizontal="center" vertical="center" shrinkToFit="1"/>
    </xf>
    <xf numFmtId="6" fontId="30" fillId="19" borderId="80" xfId="5" applyFont="1" applyFill="1" applyBorder="1" applyAlignment="1" applyProtection="1">
      <alignment horizontal="center" vertical="center" shrinkToFit="1"/>
    </xf>
    <xf numFmtId="0" fontId="34" fillId="2" borderId="4" xfId="4" applyFont="1" applyFill="1" applyBorder="1" applyAlignment="1">
      <alignment horizontal="center" vertical="center" shrinkToFit="1"/>
    </xf>
    <xf numFmtId="0" fontId="34" fillId="2" borderId="200" xfId="4" applyFont="1" applyFill="1" applyBorder="1" applyAlignment="1">
      <alignment horizontal="center" vertical="center" shrinkToFit="1"/>
    </xf>
    <xf numFmtId="0" fontId="29" fillId="0" borderId="247" xfId="4" applyFont="1" applyBorder="1" applyAlignment="1" applyProtection="1">
      <alignment horizontal="center" vertical="center" shrinkToFit="1"/>
      <protection locked="0"/>
    </xf>
    <xf numFmtId="0" fontId="29" fillId="0" borderId="20" xfId="4" applyFont="1" applyBorder="1" applyAlignment="1" applyProtection="1">
      <alignment horizontal="center" vertical="center" shrinkToFit="1"/>
      <protection locked="0"/>
    </xf>
    <xf numFmtId="0" fontId="29" fillId="0" borderId="21" xfId="4" applyFont="1" applyBorder="1" applyAlignment="1" applyProtection="1">
      <alignment horizontal="center" vertical="center" shrinkToFit="1"/>
      <protection locked="0"/>
    </xf>
    <xf numFmtId="0" fontId="29" fillId="0" borderId="6" xfId="4" applyFont="1" applyBorder="1">
      <alignment vertical="center"/>
    </xf>
    <xf numFmtId="6" fontId="34" fillId="0" borderId="143" xfId="13" applyFont="1" applyFill="1" applyBorder="1" applyAlignment="1" applyProtection="1">
      <alignment horizontal="right" vertical="center" shrinkToFit="1"/>
      <protection locked="0"/>
    </xf>
    <xf numFmtId="0" fontId="34" fillId="7" borderId="63" xfId="4" applyFont="1" applyFill="1" applyBorder="1" applyAlignment="1">
      <alignment horizontal="center" vertical="center"/>
    </xf>
    <xf numFmtId="0" fontId="34" fillId="7" borderId="288" xfId="4" applyFont="1" applyFill="1" applyBorder="1" applyAlignment="1">
      <alignment horizontal="center" vertical="center"/>
    </xf>
    <xf numFmtId="0" fontId="34" fillId="7" borderId="80" xfId="4" applyFont="1" applyFill="1" applyBorder="1" applyAlignment="1">
      <alignment horizontal="center" vertical="center"/>
    </xf>
    <xf numFmtId="0" fontId="30" fillId="19" borderId="117" xfId="4" applyFont="1" applyFill="1" applyBorder="1" applyAlignment="1">
      <alignment horizontal="center" vertical="center"/>
    </xf>
    <xf numFmtId="0" fontId="30" fillId="19" borderId="23" xfId="4" applyFont="1" applyFill="1" applyBorder="1" applyAlignment="1">
      <alignment horizontal="center" vertical="center"/>
    </xf>
    <xf numFmtId="0" fontId="30" fillId="19" borderId="151" xfId="4" applyFont="1" applyFill="1" applyBorder="1" applyAlignment="1">
      <alignment horizontal="center" vertical="center"/>
    </xf>
    <xf numFmtId="0" fontId="30" fillId="19" borderId="78" xfId="4" applyFont="1" applyFill="1" applyBorder="1" applyAlignment="1">
      <alignment horizontal="center" vertical="center"/>
    </xf>
    <xf numFmtId="0" fontId="30" fillId="19" borderId="36" xfId="4" applyFont="1" applyFill="1" applyBorder="1" applyAlignment="1">
      <alignment horizontal="center" vertical="center"/>
    </xf>
    <xf numFmtId="0" fontId="30" fillId="19" borderId="54" xfId="4" applyFont="1" applyFill="1" applyBorder="1" applyAlignment="1">
      <alignment horizontal="center" vertical="center"/>
    </xf>
    <xf numFmtId="0" fontId="30" fillId="19" borderId="211" xfId="4" applyFont="1" applyFill="1" applyBorder="1" applyAlignment="1">
      <alignment horizontal="center" vertical="center" wrapText="1"/>
    </xf>
    <xf numFmtId="0" fontId="30" fillId="19" borderId="151" xfId="4" applyFont="1" applyFill="1" applyBorder="1" applyAlignment="1">
      <alignment horizontal="center" vertical="center" wrapText="1"/>
    </xf>
    <xf numFmtId="0" fontId="30" fillId="19" borderId="5" xfId="4" applyFont="1" applyFill="1" applyBorder="1" applyAlignment="1">
      <alignment horizontal="center" vertical="center" wrapText="1"/>
    </xf>
    <xf numFmtId="0" fontId="30" fillId="19" borderId="54" xfId="4" applyFont="1" applyFill="1" applyBorder="1" applyAlignment="1">
      <alignment horizontal="center" vertical="center" wrapText="1"/>
    </xf>
    <xf numFmtId="0" fontId="30" fillId="19" borderId="23" xfId="4" applyFont="1" applyFill="1" applyBorder="1" applyAlignment="1">
      <alignment horizontal="center" vertical="center" wrapText="1"/>
    </xf>
    <xf numFmtId="0" fontId="30" fillId="19" borderId="36" xfId="4" applyFont="1" applyFill="1" applyBorder="1" applyAlignment="1">
      <alignment horizontal="center" vertical="center" wrapText="1"/>
    </xf>
    <xf numFmtId="6" fontId="34" fillId="0" borderId="6" xfId="13" applyFont="1" applyFill="1" applyBorder="1" applyAlignment="1" applyProtection="1">
      <alignment horizontal="right" vertical="center" shrinkToFit="1"/>
      <protection locked="0"/>
    </xf>
    <xf numFmtId="6" fontId="5" fillId="0" borderId="6" xfId="13" applyFont="1" applyFill="1" applyBorder="1" applyAlignment="1" applyProtection="1">
      <alignment vertical="center" shrinkToFit="1"/>
      <protection hidden="1"/>
    </xf>
    <xf numFmtId="184" fontId="42" fillId="2" borderId="4" xfId="4" applyNumberFormat="1" applyFont="1" applyFill="1" applyBorder="1" applyAlignment="1">
      <alignment horizontal="right" vertical="center" shrinkToFit="1"/>
    </xf>
    <xf numFmtId="184" fontId="42" fillId="2" borderId="200" xfId="4" applyNumberFormat="1" applyFont="1" applyFill="1" applyBorder="1" applyAlignment="1">
      <alignment horizontal="right" vertical="center" shrinkToFit="1"/>
    </xf>
    <xf numFmtId="184" fontId="42" fillId="2" borderId="200" xfId="4" applyNumberFormat="1" applyFont="1" applyFill="1" applyBorder="1" applyAlignment="1" applyProtection="1">
      <alignment horizontal="right" vertical="center" shrinkToFit="1"/>
      <protection locked="0"/>
    </xf>
    <xf numFmtId="184" fontId="42" fillId="2" borderId="2" xfId="4" applyNumberFormat="1" applyFont="1" applyFill="1" applyBorder="1" applyAlignment="1" applyProtection="1">
      <alignment horizontal="right" vertical="center" shrinkToFit="1"/>
      <protection locked="0"/>
    </xf>
    <xf numFmtId="184" fontId="42" fillId="2" borderId="35" xfId="4" applyNumberFormat="1" applyFont="1" applyFill="1" applyBorder="1" applyAlignment="1">
      <alignment horizontal="right" vertical="center" shrinkToFit="1"/>
    </xf>
    <xf numFmtId="184" fontId="42" fillId="2" borderId="36" xfId="4" applyNumberFormat="1" applyFont="1" applyFill="1" applyBorder="1" applyAlignment="1">
      <alignment horizontal="right" vertical="center" shrinkToFit="1"/>
    </xf>
    <xf numFmtId="184" fontId="42" fillId="2" borderId="54" xfId="4" applyNumberFormat="1" applyFont="1" applyFill="1" applyBorder="1" applyAlignment="1">
      <alignment horizontal="right" vertical="center" shrinkToFit="1"/>
    </xf>
    <xf numFmtId="0" fontId="59" fillId="0" borderId="79" xfId="4" applyFont="1" applyBorder="1" applyAlignment="1" applyProtection="1">
      <alignment horizontal="center" vertical="center" shrinkToFit="1"/>
      <protection locked="0"/>
    </xf>
    <xf numFmtId="0" fontId="59" fillId="0" borderId="194" xfId="4" applyFont="1" applyBorder="1" applyAlignment="1" applyProtection="1">
      <alignment horizontal="center" vertical="center" shrinkToFit="1"/>
      <protection locked="0"/>
    </xf>
    <xf numFmtId="0" fontId="59" fillId="0" borderId="195" xfId="4" applyFont="1" applyBorder="1" applyAlignment="1" applyProtection="1">
      <alignment horizontal="center" vertical="center" shrinkToFit="1"/>
      <protection locked="0"/>
    </xf>
    <xf numFmtId="0" fontId="59" fillId="0" borderId="212" xfId="4" applyFont="1" applyBorder="1" applyAlignment="1" applyProtection="1">
      <alignment horizontal="center" vertical="center" shrinkToFit="1"/>
      <protection locked="0"/>
    </xf>
    <xf numFmtId="0" fontId="59" fillId="0" borderId="0" xfId="4" applyFont="1" applyAlignment="1" applyProtection="1">
      <alignment horizontal="center" vertical="center" shrinkToFit="1"/>
      <protection locked="0"/>
    </xf>
    <xf numFmtId="0" fontId="59" fillId="0" borderId="38" xfId="4" applyFont="1" applyBorder="1" applyAlignment="1" applyProtection="1">
      <alignment horizontal="center" vertical="center" shrinkToFit="1"/>
      <protection locked="0"/>
    </xf>
    <xf numFmtId="0" fontId="59" fillId="0" borderId="78" xfId="4" applyFont="1" applyBorder="1" applyAlignment="1" applyProtection="1">
      <alignment horizontal="center" vertical="center" shrinkToFit="1"/>
      <protection locked="0"/>
    </xf>
    <xf numFmtId="0" fontId="59" fillId="0" borderId="36" xfId="4" applyFont="1" applyBorder="1" applyAlignment="1" applyProtection="1">
      <alignment horizontal="center" vertical="center" shrinkToFit="1"/>
      <protection locked="0"/>
    </xf>
    <xf numFmtId="0" fontId="59" fillId="0" borderId="54" xfId="4" applyFont="1" applyBorder="1" applyAlignment="1" applyProtection="1">
      <alignment horizontal="center" vertical="center" shrinkToFit="1"/>
      <protection locked="0"/>
    </xf>
    <xf numFmtId="0" fontId="29" fillId="0" borderId="195" xfId="4" applyFont="1" applyBorder="1" applyAlignment="1">
      <alignment horizontal="center" vertical="center"/>
    </xf>
    <xf numFmtId="0" fontId="29" fillId="0" borderId="8" xfId="4" applyFont="1" applyBorder="1" applyAlignment="1">
      <alignment horizontal="center" vertical="center"/>
    </xf>
    <xf numFmtId="0" fontId="29" fillId="0" borderId="38" xfId="4" applyFont="1" applyBorder="1" applyAlignment="1">
      <alignment horizontal="center" vertical="center"/>
    </xf>
    <xf numFmtId="0" fontId="29" fillId="0" borderId="54" xfId="4" applyFont="1" applyBorder="1" applyAlignment="1">
      <alignment horizontal="center" vertical="center"/>
    </xf>
    <xf numFmtId="6" fontId="34" fillId="0" borderId="8" xfId="13" applyFont="1" applyFill="1" applyBorder="1" applyAlignment="1" applyProtection="1">
      <alignment horizontal="right" vertical="center" shrinkToFit="1"/>
      <protection locked="0"/>
    </xf>
    <xf numFmtId="6" fontId="34" fillId="0" borderId="0" xfId="13" applyFont="1" applyFill="1" applyBorder="1" applyAlignment="1" applyProtection="1">
      <alignment horizontal="right" vertical="center" shrinkToFit="1"/>
      <protection locked="0"/>
    </xf>
    <xf numFmtId="6" fontId="34" fillId="0" borderId="38" xfId="13" applyFont="1" applyFill="1" applyBorder="1" applyAlignment="1" applyProtection="1">
      <alignment horizontal="right" vertical="center" shrinkToFit="1"/>
      <protection locked="0"/>
    </xf>
    <xf numFmtId="6" fontId="34" fillId="0" borderId="5" xfId="13" applyFont="1" applyFill="1" applyBorder="1" applyAlignment="1" applyProtection="1">
      <alignment horizontal="right" vertical="center" shrinkToFit="1"/>
      <protection locked="0"/>
    </xf>
    <xf numFmtId="6" fontId="34" fillId="0" borderId="36" xfId="13" applyFont="1" applyFill="1" applyBorder="1" applyAlignment="1" applyProtection="1">
      <alignment horizontal="right" vertical="center" shrinkToFit="1"/>
      <protection locked="0"/>
    </xf>
    <xf numFmtId="6" fontId="34" fillId="0" borderId="54" xfId="13" applyFont="1" applyFill="1" applyBorder="1" applyAlignment="1" applyProtection="1">
      <alignment horizontal="right" vertical="center" shrinkToFit="1"/>
      <protection locked="0"/>
    </xf>
    <xf numFmtId="6" fontId="34" fillId="0" borderId="193" xfId="13" applyFont="1" applyBorder="1" applyAlignment="1" applyProtection="1">
      <alignment horizontal="right" vertical="center" shrinkToFit="1"/>
      <protection locked="0"/>
    </xf>
    <xf numFmtId="6" fontId="34" fillId="0" borderId="194" xfId="13" applyFont="1" applyBorder="1" applyAlignment="1" applyProtection="1">
      <alignment horizontal="right" vertical="center" shrinkToFit="1"/>
      <protection locked="0"/>
    </xf>
    <xf numFmtId="6" fontId="34" fillId="0" borderId="195" xfId="13" applyFont="1" applyBorder="1" applyAlignment="1" applyProtection="1">
      <alignment horizontal="right" vertical="center" shrinkToFit="1"/>
      <protection locked="0"/>
    </xf>
    <xf numFmtId="6" fontId="34" fillId="0" borderId="8" xfId="13" applyFont="1" applyBorder="1" applyAlignment="1" applyProtection="1">
      <alignment horizontal="right" vertical="center" shrinkToFit="1"/>
      <protection locked="0"/>
    </xf>
    <xf numFmtId="6" fontId="34" fillId="0" borderId="0" xfId="13" applyFont="1" applyBorder="1" applyAlignment="1" applyProtection="1">
      <alignment horizontal="right" vertical="center" shrinkToFit="1"/>
      <protection locked="0"/>
    </xf>
    <xf numFmtId="6" fontId="34" fillId="0" borderId="38" xfId="13" applyFont="1" applyBorder="1" applyAlignment="1" applyProtection="1">
      <alignment horizontal="right" vertical="center" shrinkToFit="1"/>
      <protection locked="0"/>
    </xf>
    <xf numFmtId="6" fontId="34" fillId="0" borderId="5" xfId="13" applyFont="1" applyBorder="1" applyAlignment="1" applyProtection="1">
      <alignment horizontal="right" vertical="center" shrinkToFit="1"/>
      <protection locked="0"/>
    </xf>
    <xf numFmtId="6" fontId="34" fillId="0" borderId="36" xfId="13" applyFont="1" applyBorder="1" applyAlignment="1" applyProtection="1">
      <alignment horizontal="right" vertical="center" shrinkToFit="1"/>
      <protection locked="0"/>
    </xf>
    <xf numFmtId="6" fontId="34" fillId="0" borderId="54" xfId="13" applyFont="1" applyBorder="1" applyAlignment="1" applyProtection="1">
      <alignment horizontal="right" vertical="center" shrinkToFit="1"/>
      <protection locked="0"/>
    </xf>
    <xf numFmtId="184" fontId="42" fillId="2" borderId="2" xfId="4" applyNumberFormat="1" applyFont="1" applyFill="1" applyBorder="1" applyAlignment="1">
      <alignment horizontal="right" vertical="center" shrinkToFit="1"/>
    </xf>
    <xf numFmtId="0" fontId="34" fillId="2" borderId="282" xfId="4" applyFont="1" applyFill="1" applyBorder="1" applyAlignment="1">
      <alignment horizontal="center" vertical="center" shrinkToFit="1"/>
    </xf>
    <xf numFmtId="0" fontId="34" fillId="2" borderId="273" xfId="4" applyFont="1" applyFill="1" applyBorder="1" applyAlignment="1">
      <alignment horizontal="center" vertical="center" shrinkToFit="1"/>
    </xf>
    <xf numFmtId="0" fontId="34" fillId="2" borderId="275" xfId="4" applyFont="1" applyFill="1" applyBorder="1" applyAlignment="1">
      <alignment horizontal="center" vertical="center" shrinkToFit="1"/>
    </xf>
    <xf numFmtId="0" fontId="34" fillId="2" borderId="39" xfId="4" applyFont="1" applyFill="1" applyBorder="1" applyAlignment="1">
      <alignment horizontal="center" vertical="center" shrinkToFit="1"/>
    </xf>
    <xf numFmtId="0" fontId="34" fillId="2" borderId="40" xfId="4" applyFont="1" applyFill="1" applyBorder="1" applyAlignment="1">
      <alignment horizontal="center" vertical="center" shrinkToFit="1"/>
    </xf>
    <xf numFmtId="0" fontId="34" fillId="2" borderId="41" xfId="4" applyFont="1" applyFill="1" applyBorder="1" applyAlignment="1">
      <alignment horizontal="center" vertical="center" shrinkToFit="1"/>
    </xf>
    <xf numFmtId="0" fontId="29" fillId="0" borderId="19" xfId="4" applyFont="1" applyBorder="1" applyAlignment="1" applyProtection="1">
      <alignment horizontal="center" vertical="center" shrinkToFit="1"/>
      <protection locked="0"/>
    </xf>
    <xf numFmtId="0" fontId="42" fillId="2" borderId="4" xfId="4" applyFont="1" applyFill="1" applyBorder="1" applyAlignment="1">
      <alignment horizontal="center" vertical="center" shrinkToFit="1"/>
    </xf>
    <xf numFmtId="0" fontId="42" fillId="2" borderId="200" xfId="4" applyFont="1" applyFill="1" applyBorder="1" applyAlignment="1">
      <alignment horizontal="center" vertical="center" shrinkToFit="1"/>
    </xf>
    <xf numFmtId="0" fontId="59" fillId="0" borderId="286" xfId="4" applyFont="1" applyBorder="1" applyAlignment="1">
      <alignment horizontal="center" vertical="center" shrinkToFit="1"/>
    </xf>
    <xf numFmtId="0" fontId="59" fillId="0" borderId="270" xfId="4" applyFont="1" applyBorder="1" applyAlignment="1">
      <alignment horizontal="center" vertical="center" shrinkToFit="1"/>
    </xf>
    <xf numFmtId="0" fontId="29" fillId="0" borderId="270" xfId="4" applyFont="1" applyBorder="1" applyAlignment="1">
      <alignment horizontal="center" vertical="center"/>
    </xf>
    <xf numFmtId="10" fontId="34" fillId="0" borderId="269" xfId="5" applyNumberFormat="1" applyFont="1" applyBorder="1" applyAlignment="1" applyProtection="1">
      <alignment horizontal="right" vertical="center" shrinkToFit="1"/>
      <protection locked="0"/>
    </xf>
    <xf numFmtId="10" fontId="34" fillId="0" borderId="270" xfId="5" applyNumberFormat="1" applyFont="1" applyBorder="1" applyAlignment="1" applyProtection="1">
      <alignment horizontal="right" vertical="center" shrinkToFit="1"/>
      <protection locked="0"/>
    </xf>
    <xf numFmtId="10" fontId="34" fillId="0" borderId="271" xfId="5" applyNumberFormat="1" applyFont="1" applyBorder="1" applyAlignment="1" applyProtection="1">
      <alignment horizontal="right" vertical="center" shrinkToFit="1"/>
      <protection locked="0"/>
    </xf>
    <xf numFmtId="6" fontId="34" fillId="0" borderId="269" xfId="13" applyFont="1" applyBorder="1" applyAlignment="1" applyProtection="1">
      <alignment horizontal="right" vertical="center" shrinkToFit="1"/>
      <protection locked="0"/>
    </xf>
    <xf numFmtId="6" fontId="34" fillId="0" borderId="270" xfId="13" applyFont="1" applyBorder="1" applyAlignment="1" applyProtection="1">
      <alignment horizontal="right" vertical="center" shrinkToFit="1"/>
      <protection locked="0"/>
    </xf>
    <xf numFmtId="6" fontId="34" fillId="0" borderId="271" xfId="13" applyFont="1" applyBorder="1" applyAlignment="1" applyProtection="1">
      <alignment horizontal="right" vertical="center" shrinkToFit="1"/>
      <protection locked="0"/>
    </xf>
    <xf numFmtId="0" fontId="42" fillId="2" borderId="2" xfId="4" applyFont="1" applyFill="1" applyBorder="1" applyAlignment="1">
      <alignment horizontal="center" vertical="center" shrinkToFit="1"/>
    </xf>
    <xf numFmtId="0" fontId="59" fillId="0" borderId="286" xfId="4" applyFont="1" applyBorder="1" applyAlignment="1" applyProtection="1">
      <alignment horizontal="center" vertical="center" shrinkToFit="1"/>
      <protection locked="0"/>
    </xf>
    <xf numFmtId="0" fontId="59" fillId="0" borderId="270" xfId="4" applyFont="1" applyBorder="1" applyAlignment="1" applyProtection="1">
      <alignment horizontal="center" vertical="center" shrinkToFit="1"/>
      <protection locked="0"/>
    </xf>
    <xf numFmtId="0" fontId="59" fillId="0" borderId="271" xfId="4" applyFont="1" applyBorder="1" applyAlignment="1" applyProtection="1">
      <alignment horizontal="center" vertical="center" shrinkToFit="1"/>
      <protection locked="0"/>
    </xf>
    <xf numFmtId="0" fontId="29" fillId="0" borderId="269" xfId="4" applyFont="1" applyBorder="1">
      <alignment vertical="center"/>
    </xf>
    <xf numFmtId="0" fontId="29" fillId="0" borderId="271" xfId="4" applyFont="1" applyBorder="1">
      <alignment vertical="center"/>
    </xf>
    <xf numFmtId="6" fontId="34" fillId="0" borderId="269" xfId="13" applyFont="1" applyFill="1" applyBorder="1" applyAlignment="1" applyProtection="1">
      <alignment horizontal="right" vertical="center" shrinkToFit="1"/>
      <protection locked="0"/>
    </xf>
    <xf numFmtId="6" fontId="34" fillId="0" borderId="270" xfId="13" applyFont="1" applyFill="1" applyBorder="1" applyAlignment="1" applyProtection="1">
      <alignment horizontal="right" vertical="center" shrinkToFit="1"/>
      <protection locked="0"/>
    </xf>
    <xf numFmtId="6" fontId="34" fillId="0" borderId="271" xfId="13" applyFont="1" applyFill="1" applyBorder="1" applyAlignment="1" applyProtection="1">
      <alignment horizontal="right" vertical="center" shrinkToFit="1"/>
      <protection locked="0"/>
    </xf>
    <xf numFmtId="0" fontId="34" fillId="2" borderId="280" xfId="4" applyFont="1" applyFill="1" applyBorder="1" applyAlignment="1">
      <alignment horizontal="center" vertical="center" shrinkToFit="1"/>
    </xf>
    <xf numFmtId="0" fontId="34" fillId="2" borderId="270" xfId="4" applyFont="1" applyFill="1" applyBorder="1" applyAlignment="1">
      <alignment horizontal="center" vertical="center" shrinkToFit="1"/>
    </xf>
    <xf numFmtId="0" fontId="34" fillId="2" borderId="271" xfId="4" applyFont="1" applyFill="1" applyBorder="1" applyAlignment="1">
      <alignment horizontal="center" vertical="center" shrinkToFit="1"/>
    </xf>
    <xf numFmtId="0" fontId="29" fillId="0" borderId="286" xfId="4" applyFont="1" applyBorder="1" applyAlignment="1" applyProtection="1">
      <alignment horizontal="center" vertical="center" shrinkToFit="1"/>
      <protection locked="0"/>
    </xf>
    <xf numFmtId="0" fontId="29" fillId="0" borderId="270" xfId="4" applyFont="1" applyBorder="1" applyAlignment="1" applyProtection="1">
      <alignment horizontal="center" vertical="center" shrinkToFit="1"/>
      <protection locked="0"/>
    </xf>
    <xf numFmtId="0" fontId="29" fillId="0" borderId="271" xfId="4" applyFont="1" applyBorder="1" applyAlignment="1" applyProtection="1">
      <alignment horizontal="center" vertical="center" shrinkToFit="1"/>
      <protection locked="0"/>
    </xf>
    <xf numFmtId="6" fontId="29" fillId="0" borderId="269" xfId="5" applyFont="1" applyBorder="1" applyAlignment="1" applyProtection="1">
      <alignment horizontal="center" vertical="center" shrinkToFit="1"/>
    </xf>
    <xf numFmtId="6" fontId="29" fillId="0" borderId="270" xfId="5" applyFont="1" applyBorder="1" applyAlignment="1" applyProtection="1">
      <alignment horizontal="center" vertical="center" shrinkToFit="1"/>
    </xf>
    <xf numFmtId="6" fontId="29" fillId="0" borderId="270" xfId="5" applyFont="1" applyBorder="1" applyAlignment="1" applyProtection="1">
      <alignment horizontal="right" vertical="center" shrinkToFit="1"/>
    </xf>
    <xf numFmtId="0" fontId="29" fillId="0" borderId="270" xfId="5" applyNumberFormat="1" applyFont="1" applyBorder="1" applyAlignment="1" applyProtection="1">
      <alignment horizontal="left" vertical="center" shrinkToFit="1"/>
      <protection locked="0"/>
    </xf>
    <xf numFmtId="0" fontId="29" fillId="0" borderId="284" xfId="5" applyNumberFormat="1" applyFont="1" applyBorder="1" applyAlignment="1" applyProtection="1">
      <alignment horizontal="left" vertical="center" shrinkToFit="1"/>
      <protection locked="0"/>
    </xf>
    <xf numFmtId="0" fontId="34" fillId="0" borderId="4" xfId="4" applyFont="1" applyBorder="1" applyAlignment="1">
      <alignment horizontal="center" vertical="center" shrinkToFit="1"/>
    </xf>
    <xf numFmtId="0" fontId="34" fillId="0" borderId="200" xfId="4" applyFont="1" applyBorder="1" applyAlignment="1">
      <alignment horizontal="center" vertical="center" shrinkToFit="1"/>
    </xf>
    <xf numFmtId="0" fontId="34" fillId="0" borderId="2" xfId="4" applyFont="1" applyBorder="1" applyAlignment="1">
      <alignment horizontal="center" vertical="center" shrinkToFit="1"/>
    </xf>
    <xf numFmtId="0" fontId="52" fillId="0" borderId="270" xfId="4" applyFont="1" applyBorder="1" applyAlignment="1">
      <alignment horizontal="center" vertical="center" shrinkToFit="1"/>
    </xf>
    <xf numFmtId="0" fontId="52" fillId="0" borderId="270" xfId="0" applyFont="1" applyBorder="1" applyAlignment="1">
      <alignment horizontal="left" vertical="center" shrinkToFit="1"/>
    </xf>
    <xf numFmtId="0" fontId="52" fillId="0" borderId="228" xfId="0" applyFont="1" applyBorder="1" applyAlignment="1">
      <alignment horizontal="left" vertical="center" shrinkToFit="1"/>
    </xf>
    <xf numFmtId="6" fontId="5" fillId="0" borderId="9" xfId="13" applyFont="1" applyFill="1" applyBorder="1" applyAlignment="1" applyProtection="1">
      <alignment vertical="center" shrinkToFit="1"/>
      <protection hidden="1"/>
    </xf>
    <xf numFmtId="6" fontId="5" fillId="0" borderId="11" xfId="13" applyFont="1" applyFill="1" applyBorder="1" applyAlignment="1" applyProtection="1">
      <alignment vertical="center" shrinkToFit="1"/>
      <protection hidden="1"/>
    </xf>
    <xf numFmtId="0" fontId="29" fillId="0" borderId="79" xfId="4" applyFont="1" applyBorder="1" applyAlignment="1">
      <alignment horizontal="center" vertical="center" shrinkToFit="1"/>
    </xf>
    <xf numFmtId="0" fontId="29" fillId="0" borderId="194" xfId="4" applyFont="1" applyBorder="1" applyAlignment="1">
      <alignment horizontal="center" vertical="center" shrinkToFit="1"/>
    </xf>
    <xf numFmtId="0" fontId="29" fillId="0" borderId="195" xfId="4" applyFont="1" applyBorder="1" applyAlignment="1">
      <alignment horizontal="center" vertical="center" shrinkToFit="1"/>
    </xf>
    <xf numFmtId="0" fontId="34" fillId="0" borderId="280" xfId="4" applyFont="1" applyBorder="1" applyAlignment="1">
      <alignment horizontal="center" vertical="center" shrinkToFit="1"/>
    </xf>
    <xf numFmtId="0" fontId="34" fillId="0" borderId="270" xfId="4" applyFont="1" applyBorder="1" applyAlignment="1">
      <alignment horizontal="center" vertical="center" shrinkToFit="1"/>
    </xf>
    <xf numFmtId="0" fontId="34" fillId="0" borderId="271" xfId="4" applyFont="1" applyBorder="1" applyAlignment="1">
      <alignment horizontal="center" vertical="center" shrinkToFit="1"/>
    </xf>
    <xf numFmtId="0" fontId="29" fillId="0" borderId="286" xfId="4" applyFont="1" applyBorder="1" applyAlignment="1">
      <alignment horizontal="center" vertical="center" shrinkToFit="1"/>
    </xf>
    <xf numFmtId="0" fontId="29" fillId="0" borderId="270" xfId="4" applyFont="1" applyBorder="1" applyAlignment="1">
      <alignment horizontal="center" vertical="center" shrinkToFit="1"/>
    </xf>
    <xf numFmtId="0" fontId="29" fillId="0" borderId="271" xfId="4" applyFont="1" applyBorder="1" applyAlignment="1">
      <alignment horizontal="center" vertical="center" shrinkToFit="1"/>
    </xf>
    <xf numFmtId="0" fontId="29" fillId="0" borderId="274" xfId="4" applyFont="1" applyBorder="1">
      <alignment vertical="center"/>
    </xf>
    <xf numFmtId="6" fontId="34" fillId="0" borderId="274" xfId="13" applyFont="1" applyFill="1" applyBorder="1" applyAlignment="1" applyProtection="1">
      <alignment horizontal="right" vertical="center" shrinkToFit="1"/>
      <protection locked="0"/>
    </xf>
    <xf numFmtId="6" fontId="34" fillId="0" borderId="274" xfId="13" applyFont="1" applyBorder="1" applyAlignment="1" applyProtection="1">
      <alignment horizontal="right" vertical="center" shrinkToFit="1"/>
      <protection locked="0"/>
    </xf>
    <xf numFmtId="10" fontId="34" fillId="0" borderId="274" xfId="5" applyNumberFormat="1" applyFont="1" applyBorder="1" applyAlignment="1" applyProtection="1">
      <alignment horizontal="right" vertical="center" shrinkToFit="1"/>
      <protection locked="0"/>
    </xf>
    <xf numFmtId="6" fontId="34" fillId="0" borderId="254" xfId="13" applyFont="1" applyFill="1" applyBorder="1" applyAlignment="1" applyProtection="1">
      <alignment horizontal="right" vertical="center" shrinkToFit="1"/>
      <protection locked="0"/>
    </xf>
    <xf numFmtId="6" fontId="34" fillId="0" borderId="254" xfId="13" applyFont="1" applyBorder="1" applyAlignment="1" applyProtection="1">
      <alignment horizontal="right" vertical="center" shrinkToFit="1"/>
      <protection locked="0"/>
    </xf>
    <xf numFmtId="10" fontId="34" fillId="0" borderId="254" xfId="5" applyNumberFormat="1" applyFont="1" applyBorder="1" applyAlignment="1" applyProtection="1">
      <alignment horizontal="right" vertical="center" shrinkToFit="1"/>
      <protection locked="0"/>
    </xf>
    <xf numFmtId="0" fontId="29" fillId="8" borderId="20" xfId="6" applyNumberFormat="1" applyFont="1" applyFill="1" applyBorder="1" applyAlignment="1" applyProtection="1">
      <alignment horizontal="right" vertical="center" shrinkToFit="1"/>
    </xf>
    <xf numFmtId="0" fontId="29" fillId="8" borderId="20" xfId="6" applyNumberFormat="1" applyFont="1" applyFill="1" applyBorder="1" applyAlignment="1" applyProtection="1">
      <alignment horizontal="left" vertical="center" shrinkToFit="1"/>
      <protection locked="0"/>
    </xf>
    <xf numFmtId="0" fontId="29" fillId="8" borderId="116" xfId="6" applyNumberFormat="1" applyFont="1" applyFill="1" applyBorder="1" applyAlignment="1" applyProtection="1">
      <alignment horizontal="left" vertical="center" shrinkToFit="1"/>
      <protection locked="0"/>
    </xf>
    <xf numFmtId="0" fontId="29" fillId="0" borderId="270" xfId="5" applyNumberFormat="1" applyFont="1" applyBorder="1" applyAlignment="1" applyProtection="1">
      <alignment horizontal="right" vertical="center"/>
    </xf>
    <xf numFmtId="0" fontId="29" fillId="0" borderId="270" xfId="5" applyNumberFormat="1" applyFont="1" applyBorder="1" applyAlignment="1" applyProtection="1">
      <alignment horizontal="left" vertical="center"/>
      <protection locked="0"/>
    </xf>
    <xf numFmtId="0" fontId="29" fillId="0" borderId="284" xfId="5" applyNumberFormat="1" applyFont="1" applyBorder="1" applyAlignment="1" applyProtection="1">
      <alignment horizontal="left" vertical="center"/>
      <protection locked="0"/>
    </xf>
    <xf numFmtId="0" fontId="29" fillId="0" borderId="76" xfId="4" applyFont="1" applyBorder="1" applyAlignment="1">
      <alignment horizontal="center" vertical="center" shrinkToFit="1"/>
    </xf>
    <xf numFmtId="0" fontId="29" fillId="0" borderId="200" xfId="4" applyFont="1" applyBorder="1" applyAlignment="1">
      <alignment horizontal="center" vertical="center" shrinkToFit="1"/>
    </xf>
    <xf numFmtId="0" fontId="29" fillId="0" borderId="2" xfId="4" applyFont="1" applyBorder="1" applyAlignment="1">
      <alignment horizontal="center" vertical="center" shrinkToFit="1"/>
    </xf>
    <xf numFmtId="6" fontId="29" fillId="0" borderId="269" xfId="5" applyFont="1" applyBorder="1" applyAlignment="1" applyProtection="1">
      <alignment horizontal="right" vertical="center"/>
    </xf>
    <xf numFmtId="6" fontId="29" fillId="0" borderId="270" xfId="5" applyFont="1" applyBorder="1" applyAlignment="1" applyProtection="1">
      <alignment horizontal="right" vertical="center"/>
    </xf>
    <xf numFmtId="6" fontId="29" fillId="0" borderId="269" xfId="5" applyFont="1" applyBorder="1" applyAlignment="1" applyProtection="1">
      <alignment horizontal="right" vertical="center" shrinkToFit="1"/>
    </xf>
    <xf numFmtId="6" fontId="5" fillId="0" borderId="6" xfId="4" applyNumberFormat="1" applyFont="1" applyBorder="1" applyAlignment="1" applyProtection="1">
      <alignment vertical="center" shrinkToFit="1"/>
      <protection hidden="1"/>
    </xf>
    <xf numFmtId="0" fontId="28" fillId="8" borderId="5" xfId="6" applyNumberFormat="1" applyFont="1" applyFill="1" applyBorder="1" applyAlignment="1" applyProtection="1">
      <alignment horizontal="left" vertical="center" shrinkToFit="1"/>
    </xf>
    <xf numFmtId="0" fontId="28" fillId="8" borderId="36" xfId="6" applyNumberFormat="1" applyFont="1" applyFill="1" applyBorder="1" applyAlignment="1" applyProtection="1">
      <alignment horizontal="left" vertical="center" shrinkToFit="1"/>
    </xf>
    <xf numFmtId="10" fontId="31" fillId="0" borderId="313" xfId="6" applyNumberFormat="1" applyFont="1" applyFill="1" applyBorder="1" applyAlignment="1" applyProtection="1">
      <alignment horizontal="center" vertical="center" shrinkToFit="1"/>
    </xf>
    <xf numFmtId="10" fontId="31" fillId="0" borderId="314" xfId="6" applyNumberFormat="1" applyFont="1" applyFill="1" applyBorder="1" applyAlignment="1" applyProtection="1">
      <alignment horizontal="center" vertical="center" shrinkToFit="1"/>
    </xf>
    <xf numFmtId="0" fontId="34" fillId="8" borderId="280" xfId="4" applyFont="1" applyFill="1" applyBorder="1" applyAlignment="1">
      <alignment horizontal="center" vertical="center" shrinkToFit="1"/>
    </xf>
    <xf numFmtId="0" fontId="34" fillId="8" borderId="270" xfId="4" applyFont="1" applyFill="1" applyBorder="1" applyAlignment="1">
      <alignment horizontal="center" vertical="center" shrinkToFit="1"/>
    </xf>
    <xf numFmtId="0" fontId="34" fillId="8" borderId="271" xfId="4" applyFont="1" applyFill="1" applyBorder="1" applyAlignment="1">
      <alignment horizontal="center" vertical="center" shrinkToFit="1"/>
    </xf>
    <xf numFmtId="0" fontId="29" fillId="0" borderId="105" xfId="4" applyFont="1" applyBorder="1" applyAlignment="1" applyProtection="1">
      <alignment horizontal="center" vertical="center" shrinkToFit="1"/>
      <protection locked="0"/>
    </xf>
    <xf numFmtId="0" fontId="29" fillId="0" borderId="73" xfId="4" applyFont="1" applyBorder="1" applyAlignment="1" applyProtection="1">
      <alignment horizontal="center" vertical="center" shrinkToFit="1"/>
      <protection locked="0"/>
    </xf>
    <xf numFmtId="0" fontId="29" fillId="0" borderId="74" xfId="4" applyFont="1" applyBorder="1" applyAlignment="1" applyProtection="1">
      <alignment horizontal="center" vertical="center" shrinkToFit="1"/>
      <protection locked="0"/>
    </xf>
    <xf numFmtId="0" fontId="59" fillId="0" borderId="328" xfId="4" applyFont="1" applyBorder="1" applyAlignment="1" applyProtection="1">
      <alignment horizontal="center" vertical="center" shrinkToFit="1"/>
      <protection locked="0"/>
    </xf>
    <xf numFmtId="0" fontId="59" fillId="0" borderId="314" xfId="4" applyFont="1" applyBorder="1" applyAlignment="1" applyProtection="1">
      <alignment horizontal="center" vertical="center" shrinkToFit="1"/>
      <protection locked="0"/>
    </xf>
    <xf numFmtId="0" fontId="59" fillId="0" borderId="315" xfId="4" applyFont="1" applyBorder="1" applyAlignment="1" applyProtection="1">
      <alignment horizontal="center" vertical="center" shrinkToFit="1"/>
      <protection locked="0"/>
    </xf>
    <xf numFmtId="6" fontId="34" fillId="0" borderId="75" xfId="13" applyFont="1" applyFill="1" applyBorder="1" applyAlignment="1" applyProtection="1">
      <alignment horizontal="right" vertical="center" shrinkToFit="1"/>
      <protection locked="0"/>
    </xf>
    <xf numFmtId="6" fontId="34" fillId="0" borderId="73" xfId="13" applyFont="1" applyFill="1" applyBorder="1" applyAlignment="1" applyProtection="1">
      <alignment horizontal="right" vertical="center" shrinkToFit="1"/>
      <protection locked="0"/>
    </xf>
    <xf numFmtId="6" fontId="34" fillId="0" borderId="74" xfId="13" applyFont="1" applyFill="1" applyBorder="1" applyAlignment="1" applyProtection="1">
      <alignment horizontal="right" vertical="center" shrinkToFit="1"/>
      <protection locked="0"/>
    </xf>
    <xf numFmtId="6" fontId="34" fillId="0" borderId="75" xfId="13" applyFont="1" applyBorder="1" applyAlignment="1" applyProtection="1">
      <alignment horizontal="right" vertical="center" shrinkToFit="1"/>
      <protection locked="0"/>
    </xf>
    <xf numFmtId="6" fontId="34" fillId="0" borderId="73" xfId="13" applyFont="1" applyBorder="1" applyAlignment="1" applyProtection="1">
      <alignment horizontal="right" vertical="center" shrinkToFit="1"/>
      <protection locked="0"/>
    </xf>
    <xf numFmtId="6" fontId="34" fillId="0" borderId="74" xfId="13" applyFont="1" applyBorder="1" applyAlignment="1" applyProtection="1">
      <alignment horizontal="right" vertical="center" shrinkToFit="1"/>
      <protection locked="0"/>
    </xf>
    <xf numFmtId="0" fontId="59" fillId="0" borderId="272" xfId="4" applyFont="1" applyBorder="1" applyAlignment="1">
      <alignment horizontal="center" vertical="center"/>
    </xf>
    <xf numFmtId="0" fontId="59" fillId="0" borderId="275" xfId="4" applyFont="1" applyBorder="1" applyAlignment="1">
      <alignment horizontal="center" vertical="center"/>
    </xf>
    <xf numFmtId="6" fontId="34" fillId="0" borderId="272" xfId="13" applyFont="1" applyFill="1" applyBorder="1" applyAlignment="1" applyProtection="1">
      <alignment horizontal="right" vertical="center" shrinkToFit="1"/>
      <protection locked="0"/>
    </xf>
    <xf numFmtId="6" fontId="34" fillId="0" borderId="273" xfId="13" applyFont="1" applyFill="1" applyBorder="1" applyAlignment="1" applyProtection="1">
      <alignment horizontal="right" vertical="center" shrinkToFit="1"/>
      <protection locked="0"/>
    </xf>
    <xf numFmtId="6" fontId="34" fillId="0" borderId="275" xfId="13" applyFont="1" applyFill="1" applyBorder="1" applyAlignment="1" applyProtection="1">
      <alignment horizontal="right" vertical="center" shrinkToFit="1"/>
      <protection locked="0"/>
    </xf>
    <xf numFmtId="6" fontId="34" fillId="0" borderId="272" xfId="13" applyFont="1" applyBorder="1" applyAlignment="1" applyProtection="1">
      <alignment horizontal="right" vertical="center" shrinkToFit="1"/>
      <protection locked="0"/>
    </xf>
    <xf numFmtId="6" fontId="34" fillId="0" borderId="273" xfId="13" applyFont="1" applyBorder="1" applyAlignment="1" applyProtection="1">
      <alignment horizontal="right" vertical="center" shrinkToFit="1"/>
      <protection locked="0"/>
    </xf>
    <xf numFmtId="6" fontId="34" fillId="0" borderId="275" xfId="13" applyFont="1" applyBorder="1" applyAlignment="1" applyProtection="1">
      <alignment horizontal="right" vertical="center" shrinkToFit="1"/>
      <protection locked="0"/>
    </xf>
    <xf numFmtId="10" fontId="52" fillId="0" borderId="314" xfId="6" applyNumberFormat="1" applyFont="1" applyFill="1" applyBorder="1" applyAlignment="1" applyProtection="1">
      <alignment horizontal="center" vertical="center" shrinkToFit="1"/>
    </xf>
    <xf numFmtId="10" fontId="52" fillId="0" borderId="331" xfId="6" applyNumberFormat="1" applyFont="1" applyFill="1" applyBorder="1" applyAlignment="1" applyProtection="1">
      <alignment horizontal="center" vertical="center" shrinkToFit="1"/>
    </xf>
    <xf numFmtId="10" fontId="34" fillId="0" borderId="109" xfId="5" applyNumberFormat="1" applyFont="1" applyBorder="1" applyAlignment="1" applyProtection="1">
      <alignment horizontal="right" vertical="center" shrinkToFit="1"/>
      <protection locked="0"/>
    </xf>
    <xf numFmtId="6" fontId="34" fillId="0" borderId="109" xfId="13" applyFont="1" applyBorder="1" applyAlignment="1" applyProtection="1">
      <alignment horizontal="right" vertical="center" shrinkToFit="1"/>
      <protection locked="0"/>
    </xf>
    <xf numFmtId="0" fontId="34" fillId="0" borderId="192" xfId="4" applyFont="1" applyBorder="1" applyAlignment="1">
      <alignment horizontal="center" vertical="center" shrinkToFit="1"/>
    </xf>
    <xf numFmtId="0" fontId="34" fillId="2" borderId="66" xfId="4" applyFont="1" applyFill="1" applyBorder="1" applyAlignment="1">
      <alignment horizontal="center" vertical="center" shrinkToFit="1"/>
    </xf>
    <xf numFmtId="0" fontId="34" fillId="2" borderId="68" xfId="4" applyFont="1" applyFill="1" applyBorder="1" applyAlignment="1">
      <alignment horizontal="center" vertical="center" shrinkToFit="1"/>
    </xf>
    <xf numFmtId="0" fontId="29" fillId="0" borderId="148" xfId="4" applyFont="1" applyBorder="1">
      <alignment vertical="center"/>
    </xf>
    <xf numFmtId="6" fontId="29" fillId="0" borderId="148" xfId="5" applyFont="1" applyBorder="1" applyAlignment="1" applyProtection="1">
      <alignment horizontal="left" vertical="center" shrinkToFit="1"/>
    </xf>
    <xf numFmtId="6" fontId="29" fillId="0" borderId="207" xfId="5" applyFont="1" applyBorder="1" applyAlignment="1" applyProtection="1">
      <alignment horizontal="left" vertical="center" shrinkToFit="1"/>
    </xf>
    <xf numFmtId="0" fontId="38" fillId="23" borderId="194" xfId="4" applyFont="1" applyFill="1" applyBorder="1" applyAlignment="1">
      <alignment horizontal="center" vertical="center" shrinkToFit="1"/>
    </xf>
    <xf numFmtId="0" fontId="38" fillId="23" borderId="195" xfId="4" applyFont="1" applyFill="1" applyBorder="1" applyAlignment="1">
      <alignment horizontal="center" vertical="center" shrinkToFit="1"/>
    </xf>
    <xf numFmtId="0" fontId="38" fillId="23" borderId="33" xfId="4" applyFont="1" applyFill="1" applyBorder="1" applyAlignment="1">
      <alignment horizontal="center" vertical="center" shrinkToFit="1"/>
    </xf>
    <xf numFmtId="0" fontId="38" fillId="23" borderId="0" xfId="4" applyFont="1" applyFill="1" applyAlignment="1">
      <alignment horizontal="center" vertical="center" shrinkToFit="1"/>
    </xf>
    <xf numFmtId="0" fontId="38" fillId="23" borderId="38" xfId="4" applyFont="1" applyFill="1" applyBorder="1" applyAlignment="1">
      <alignment horizontal="center" vertical="center" shrinkToFit="1"/>
    </xf>
    <xf numFmtId="0" fontId="38" fillId="23" borderId="39" xfId="4" applyFont="1" applyFill="1" applyBorder="1" applyAlignment="1">
      <alignment horizontal="center" vertical="center" shrinkToFit="1"/>
    </xf>
    <xf numFmtId="0" fontId="38" fillId="23" borderId="40" xfId="4" applyFont="1" applyFill="1" applyBorder="1" applyAlignment="1">
      <alignment horizontal="center" vertical="center" shrinkToFit="1"/>
    </xf>
    <xf numFmtId="0" fontId="38" fillId="23" borderId="41" xfId="4" applyFont="1" applyFill="1" applyBorder="1" applyAlignment="1">
      <alignment horizontal="center" vertical="center" shrinkToFit="1"/>
    </xf>
    <xf numFmtId="0" fontId="34" fillId="2" borderId="192" xfId="4" applyFont="1" applyFill="1" applyBorder="1" applyAlignment="1">
      <alignment horizontal="center" vertical="center" shrinkToFit="1"/>
    </xf>
    <xf numFmtId="0" fontId="34" fillId="2" borderId="2" xfId="4" applyFont="1" applyFill="1" applyBorder="1" applyAlignment="1">
      <alignment horizontal="center" vertical="center" shrinkToFit="1"/>
    </xf>
    <xf numFmtId="6" fontId="29" fillId="0" borderId="6" xfId="5" applyFont="1" applyBorder="1" applyAlignment="1" applyProtection="1">
      <alignment horizontal="left" vertical="center" shrinkToFit="1"/>
    </xf>
    <xf numFmtId="6" fontId="29" fillId="0" borderId="84" xfId="5" applyFont="1" applyBorder="1" applyAlignment="1" applyProtection="1">
      <alignment horizontal="left" vertical="center" shrinkToFit="1"/>
    </xf>
    <xf numFmtId="10" fontId="34" fillId="0" borderId="329" xfId="5" applyNumberFormat="1" applyFont="1" applyBorder="1" applyAlignment="1" applyProtection="1">
      <alignment horizontal="right" vertical="center" shrinkToFit="1"/>
      <protection locked="0"/>
    </xf>
    <xf numFmtId="0" fontId="29" fillId="8" borderId="270" xfId="6" applyNumberFormat="1" applyFont="1" applyFill="1" applyBorder="1" applyAlignment="1" applyProtection="1">
      <alignment horizontal="left" vertical="center" shrinkToFit="1"/>
      <protection locked="0"/>
    </xf>
    <xf numFmtId="0" fontId="29" fillId="8" borderId="228" xfId="6" applyNumberFormat="1" applyFont="1" applyFill="1" applyBorder="1" applyAlignment="1" applyProtection="1">
      <alignment horizontal="left" vertical="center" shrinkToFit="1"/>
      <protection locked="0"/>
    </xf>
    <xf numFmtId="0" fontId="59" fillId="0" borderId="313" xfId="4" applyFont="1" applyBorder="1" applyAlignment="1">
      <alignment horizontal="center" vertical="center"/>
    </xf>
    <xf numFmtId="0" fontId="59" fillId="0" borderId="315" xfId="4" applyFont="1" applyBorder="1" applyAlignment="1">
      <alignment horizontal="center" vertical="center"/>
    </xf>
    <xf numFmtId="6" fontId="34" fillId="0" borderId="313" xfId="13" applyFont="1" applyFill="1" applyBorder="1" applyAlignment="1" applyProtection="1">
      <alignment horizontal="right" vertical="center" shrinkToFit="1"/>
      <protection locked="0"/>
    </xf>
    <xf numFmtId="6" fontId="34" fillId="0" borderId="314" xfId="13" applyFont="1" applyFill="1" applyBorder="1" applyAlignment="1" applyProtection="1">
      <alignment horizontal="right" vertical="center" shrinkToFit="1"/>
      <protection locked="0"/>
    </xf>
    <xf numFmtId="6" fontId="34" fillId="0" borderId="315" xfId="13" applyFont="1" applyFill="1" applyBorder="1" applyAlignment="1" applyProtection="1">
      <alignment horizontal="right" vertical="center" shrinkToFit="1"/>
      <protection locked="0"/>
    </xf>
    <xf numFmtId="6" fontId="34" fillId="0" borderId="313" xfId="13" applyFont="1" applyBorder="1" applyAlignment="1" applyProtection="1">
      <alignment horizontal="right" vertical="center" shrinkToFit="1"/>
      <protection locked="0"/>
    </xf>
    <xf numFmtId="6" fontId="34" fillId="0" borderId="314" xfId="13" applyFont="1" applyBorder="1" applyAlignment="1" applyProtection="1">
      <alignment horizontal="right" vertical="center" shrinkToFit="1"/>
      <protection locked="0"/>
    </xf>
    <xf numFmtId="6" fontId="34" fillId="0" borderId="315" xfId="13" applyFont="1" applyBorder="1" applyAlignment="1" applyProtection="1">
      <alignment horizontal="right" vertical="center" shrinkToFit="1"/>
      <protection locked="0"/>
    </xf>
    <xf numFmtId="0" fontId="59" fillId="0" borderId="75" xfId="4" applyFont="1" applyBorder="1" applyAlignment="1">
      <alignment horizontal="center" vertical="center"/>
    </xf>
    <xf numFmtId="0" fontId="59" fillId="0" borderId="74" xfId="4" applyFont="1" applyBorder="1" applyAlignment="1">
      <alignment horizontal="center" vertical="center"/>
    </xf>
    <xf numFmtId="0" fontId="29" fillId="8" borderId="270" xfId="6" applyNumberFormat="1" applyFont="1" applyFill="1" applyBorder="1" applyAlignment="1" applyProtection="1">
      <alignment horizontal="right" vertical="center" shrinkToFit="1"/>
    </xf>
    <xf numFmtId="6" fontId="34" fillId="0" borderId="329" xfId="13" applyFont="1" applyBorder="1" applyAlignment="1" applyProtection="1">
      <alignment horizontal="right" vertical="center" shrinkToFit="1"/>
      <protection locked="0"/>
    </xf>
    <xf numFmtId="0" fontId="34" fillId="7" borderId="126" xfId="4" applyFont="1" applyFill="1" applyBorder="1" applyAlignment="1">
      <alignment horizontal="center" vertical="center"/>
    </xf>
    <xf numFmtId="0" fontId="34" fillId="7" borderId="127" xfId="4" applyFont="1" applyFill="1" applyBorder="1" applyAlignment="1">
      <alignment horizontal="center" vertical="center"/>
    </xf>
    <xf numFmtId="0" fontId="34" fillId="7" borderId="128" xfId="4" applyFont="1" applyFill="1" applyBorder="1" applyAlignment="1">
      <alignment horizontal="center" vertical="center"/>
    </xf>
    <xf numFmtId="0" fontId="34" fillId="0" borderId="129" xfId="4" applyFont="1" applyBorder="1" applyAlignment="1">
      <alignment horizontal="center" vertical="center"/>
    </xf>
    <xf numFmtId="0" fontId="34" fillId="0" borderId="127" xfId="4" applyFont="1" applyBorder="1" applyAlignment="1">
      <alignment horizontal="center" vertical="center"/>
    </xf>
    <xf numFmtId="0" fontId="30" fillId="0" borderId="127" xfId="4" applyFont="1" applyBorder="1" applyAlignment="1" applyProtection="1">
      <alignment horizontal="center" vertical="center"/>
      <protection locked="0"/>
    </xf>
    <xf numFmtId="0" fontId="30" fillId="19" borderId="138" xfId="4" applyFont="1" applyFill="1" applyBorder="1" applyAlignment="1">
      <alignment horizontal="center" vertical="center"/>
    </xf>
    <xf numFmtId="0" fontId="30" fillId="19" borderId="71" xfId="4" applyFont="1" applyFill="1" applyBorder="1" applyAlignment="1">
      <alignment horizontal="center" vertical="center"/>
    </xf>
    <xf numFmtId="0" fontId="30" fillId="19" borderId="114" xfId="4" applyFont="1" applyFill="1" applyBorder="1" applyAlignment="1">
      <alignment horizontal="center" vertical="center"/>
    </xf>
    <xf numFmtId="0" fontId="30" fillId="19" borderId="108" xfId="4" applyFont="1" applyFill="1" applyBorder="1" applyAlignment="1">
      <alignment horizontal="center" vertical="center"/>
    </xf>
    <xf numFmtId="0" fontId="30" fillId="19" borderId="0" xfId="4" applyFont="1" applyFill="1" applyAlignment="1">
      <alignment horizontal="center" vertical="center"/>
    </xf>
    <xf numFmtId="0" fontId="30" fillId="19" borderId="38" xfId="4" applyFont="1" applyFill="1" applyBorder="1" applyAlignment="1">
      <alignment horizontal="center" vertical="center"/>
    </xf>
    <xf numFmtId="0" fontId="30" fillId="19" borderId="70" xfId="4" applyFont="1" applyFill="1" applyBorder="1" applyAlignment="1">
      <alignment horizontal="center" vertical="center" wrapText="1"/>
    </xf>
    <xf numFmtId="0" fontId="30" fillId="19" borderId="114" xfId="4" applyFont="1" applyFill="1" applyBorder="1" applyAlignment="1">
      <alignment horizontal="center" vertical="center" wrapText="1"/>
    </xf>
    <xf numFmtId="0" fontId="30" fillId="19" borderId="8" xfId="4" applyFont="1" applyFill="1" applyBorder="1" applyAlignment="1">
      <alignment horizontal="center" vertical="center" wrapText="1"/>
    </xf>
    <xf numFmtId="0" fontId="30" fillId="19" borderId="38" xfId="4" applyFont="1" applyFill="1" applyBorder="1" applyAlignment="1">
      <alignment horizontal="center" vertical="center" wrapText="1"/>
    </xf>
    <xf numFmtId="0" fontId="30" fillId="19" borderId="71" xfId="4" applyFont="1" applyFill="1" applyBorder="1" applyAlignment="1">
      <alignment horizontal="center" vertical="center" wrapText="1"/>
    </xf>
    <xf numFmtId="0" fontId="30" fillId="19" borderId="0" xfId="4" applyFont="1" applyFill="1" applyAlignment="1">
      <alignment horizontal="center" vertical="center" wrapText="1"/>
    </xf>
    <xf numFmtId="6" fontId="30" fillId="19" borderId="70" xfId="5" applyFont="1" applyFill="1" applyBorder="1" applyAlignment="1" applyProtection="1">
      <alignment horizontal="center" vertical="center" shrinkToFit="1"/>
    </xf>
    <xf numFmtId="6" fontId="30" fillId="19" borderId="71" xfId="5" applyFont="1" applyFill="1" applyBorder="1" applyAlignment="1" applyProtection="1">
      <alignment horizontal="center" vertical="center" shrinkToFit="1"/>
    </xf>
    <xf numFmtId="6" fontId="30" fillId="19" borderId="277" xfId="5" applyFont="1" applyFill="1" applyBorder="1" applyAlignment="1" applyProtection="1">
      <alignment horizontal="center" vertical="center" shrinkToFit="1"/>
    </xf>
    <xf numFmtId="6" fontId="30" fillId="19" borderId="8" xfId="5" applyFont="1" applyFill="1" applyBorder="1" applyAlignment="1" applyProtection="1">
      <alignment horizontal="center" vertical="center" shrinkToFit="1"/>
    </xf>
    <xf numFmtId="6" fontId="30" fillId="19" borderId="0" xfId="5" applyFont="1" applyFill="1" applyBorder="1" applyAlignment="1" applyProtection="1">
      <alignment horizontal="center" vertical="center" shrinkToFit="1"/>
    </xf>
    <xf numFmtId="6" fontId="30" fillId="19" borderId="72" xfId="5" applyFont="1" applyFill="1" applyBorder="1" applyAlignment="1" applyProtection="1">
      <alignment horizontal="center" vertical="center" shrinkToFit="1"/>
    </xf>
    <xf numFmtId="0" fontId="29" fillId="0" borderId="279" xfId="4" applyFont="1" applyBorder="1" applyAlignment="1" applyProtection="1">
      <alignment horizontal="center" vertical="center" shrinkToFit="1"/>
      <protection locked="0"/>
    </xf>
    <xf numFmtId="0" fontId="29" fillId="0" borderId="273" xfId="4" applyFont="1" applyBorder="1" applyAlignment="1" applyProtection="1">
      <alignment horizontal="center" vertical="center" shrinkToFit="1"/>
      <protection locked="0"/>
    </xf>
    <xf numFmtId="0" fontId="29" fillId="0" borderId="275" xfId="4" applyFont="1" applyBorder="1" applyAlignment="1" applyProtection="1">
      <alignment horizontal="center" vertical="center" shrinkToFit="1"/>
      <protection locked="0"/>
    </xf>
    <xf numFmtId="0" fontId="30" fillId="7" borderId="121" xfId="4" applyFont="1" applyFill="1" applyBorder="1" applyAlignment="1">
      <alignment horizontal="center" vertical="center" shrinkToFit="1"/>
    </xf>
    <xf numFmtId="0" fontId="30" fillId="7" borderId="119" xfId="4" applyFont="1" applyFill="1" applyBorder="1" applyAlignment="1">
      <alignment horizontal="center" vertical="center" shrinkToFit="1"/>
    </xf>
    <xf numFmtId="0" fontId="30" fillId="0" borderId="121" xfId="4" applyFont="1" applyBorder="1" applyAlignment="1">
      <alignment horizontal="center" vertical="center" shrinkToFit="1"/>
    </xf>
    <xf numFmtId="0" fontId="30" fillId="0" borderId="119" xfId="4" applyFont="1" applyBorder="1" applyAlignment="1">
      <alignment horizontal="center" vertical="center" shrinkToFit="1"/>
    </xf>
    <xf numFmtId="49" fontId="30" fillId="0" borderId="121" xfId="4" applyNumberFormat="1" applyFont="1" applyBorder="1" applyAlignment="1" applyProtection="1">
      <alignment horizontal="center" vertical="center" shrinkToFit="1"/>
      <protection locked="0"/>
    </xf>
    <xf numFmtId="49" fontId="30" fillId="0" borderId="119" xfId="4" applyNumberFormat="1" applyFont="1" applyBorder="1" applyAlignment="1" applyProtection="1">
      <alignment horizontal="center" vertical="center" shrinkToFit="1"/>
      <protection locked="0"/>
    </xf>
    <xf numFmtId="0" fontId="30" fillId="7" borderId="122" xfId="4" applyFont="1" applyFill="1" applyBorder="1" applyAlignment="1">
      <alignment horizontal="center" vertical="center" shrinkToFit="1"/>
    </xf>
    <xf numFmtId="0" fontId="30" fillId="0" borderId="7" xfId="4" applyFont="1" applyBorder="1" applyAlignment="1">
      <alignment horizontal="center" vertical="center" shrinkToFit="1"/>
    </xf>
    <xf numFmtId="0" fontId="30" fillId="0" borderId="13" xfId="4" applyFont="1" applyBorder="1" applyAlignment="1">
      <alignment horizontal="center" vertical="center" shrinkToFit="1"/>
    </xf>
    <xf numFmtId="0" fontId="30" fillId="0" borderId="144" xfId="4" applyFont="1" applyBorder="1" applyAlignment="1">
      <alignment horizontal="center" vertical="center" shrinkToFit="1"/>
    </xf>
    <xf numFmtId="0" fontId="30" fillId="0" borderId="146" xfId="4" applyFont="1" applyBorder="1" applyAlignment="1">
      <alignment horizontal="center" vertical="center" shrinkToFit="1"/>
    </xf>
    <xf numFmtId="0" fontId="29" fillId="0" borderId="269" xfId="4" applyFont="1" applyBorder="1" applyAlignment="1">
      <alignment horizontal="right" vertical="center"/>
    </xf>
    <xf numFmtId="0" fontId="29" fillId="0" borderId="270" xfId="4" applyFont="1" applyBorder="1" applyAlignment="1">
      <alignment horizontal="right" vertical="center"/>
    </xf>
    <xf numFmtId="49" fontId="29" fillId="0" borderId="270" xfId="5" applyNumberFormat="1" applyFont="1" applyBorder="1" applyAlignment="1" applyProtection="1">
      <alignment horizontal="left" vertical="center" shrinkToFit="1"/>
      <protection locked="0"/>
    </xf>
    <xf numFmtId="49" fontId="29" fillId="0" borderId="228" xfId="5" applyNumberFormat="1" applyFont="1" applyBorder="1" applyAlignment="1" applyProtection="1">
      <alignment horizontal="left" vertical="center" shrinkToFit="1"/>
      <protection locked="0"/>
    </xf>
    <xf numFmtId="10" fontId="31" fillId="0" borderId="269" xfId="6" applyNumberFormat="1" applyFont="1" applyFill="1" applyBorder="1" applyAlignment="1" applyProtection="1">
      <alignment horizontal="left" vertical="center" shrinkToFit="1"/>
    </xf>
    <xf numFmtId="10" fontId="31" fillId="0" borderId="270" xfId="6" applyNumberFormat="1" applyFont="1" applyFill="1" applyBorder="1" applyAlignment="1" applyProtection="1">
      <alignment horizontal="left" vertical="center" shrinkToFit="1"/>
    </xf>
    <xf numFmtId="49" fontId="30" fillId="0" borderId="122" xfId="4" applyNumberFormat="1" applyFont="1" applyBorder="1" applyAlignment="1" applyProtection="1">
      <alignment horizontal="center" vertical="center" shrinkToFit="1"/>
      <protection locked="0"/>
    </xf>
    <xf numFmtId="49" fontId="30" fillId="0" borderId="123" xfId="4" applyNumberFormat="1" applyFont="1" applyBorder="1" applyAlignment="1" applyProtection="1">
      <alignment horizontal="center" vertical="center" shrinkToFit="1"/>
      <protection locked="0"/>
    </xf>
    <xf numFmtId="0" fontId="49" fillId="7" borderId="118" xfId="4" applyFont="1" applyFill="1" applyBorder="1" applyAlignment="1">
      <alignment horizontal="center" vertical="center" wrapText="1"/>
    </xf>
    <xf numFmtId="0" fontId="49" fillId="7" borderId="119" xfId="4" applyFont="1" applyFill="1" applyBorder="1" applyAlignment="1">
      <alignment horizontal="center" vertical="center" wrapText="1"/>
    </xf>
    <xf numFmtId="0" fontId="49" fillId="7" borderId="120" xfId="4" applyFont="1" applyFill="1" applyBorder="1" applyAlignment="1">
      <alignment horizontal="center" vertical="center" wrapText="1"/>
    </xf>
    <xf numFmtId="49" fontId="49" fillId="0" borderId="121" xfId="4" applyNumberFormat="1" applyFont="1" applyBorder="1" applyAlignment="1" applyProtection="1">
      <alignment horizontal="center" vertical="center" shrinkToFit="1"/>
      <protection locked="0"/>
    </xf>
    <xf numFmtId="49" fontId="49" fillId="0" borderId="119" xfId="4" applyNumberFormat="1" applyFont="1" applyBorder="1" applyAlignment="1" applyProtection="1">
      <alignment horizontal="center" vertical="center" shrinkToFit="1"/>
      <protection locked="0"/>
    </xf>
    <xf numFmtId="49" fontId="49" fillId="0" borderId="120" xfId="4" applyNumberFormat="1" applyFont="1" applyBorder="1" applyAlignment="1" applyProtection="1">
      <alignment horizontal="center" vertical="center" shrinkToFit="1"/>
      <protection locked="0"/>
    </xf>
    <xf numFmtId="0" fontId="49" fillId="7" borderId="121" xfId="4" applyFont="1" applyFill="1" applyBorder="1" applyAlignment="1">
      <alignment horizontal="center" vertical="center" wrapText="1"/>
    </xf>
    <xf numFmtId="0" fontId="30" fillId="0" borderId="125" xfId="4" applyFont="1" applyBorder="1" applyAlignment="1" applyProtection="1">
      <alignment horizontal="center" vertical="center" shrinkToFit="1"/>
      <protection locked="0"/>
    </xf>
    <xf numFmtId="0" fontId="34" fillId="7" borderId="124" xfId="4" applyFont="1" applyFill="1" applyBorder="1" applyAlignment="1">
      <alignment horizontal="center" vertical="center" shrinkToFit="1"/>
    </xf>
    <xf numFmtId="0" fontId="34" fillId="7" borderId="12" xfId="4" applyFont="1" applyFill="1" applyBorder="1" applyAlignment="1">
      <alignment horizontal="center" vertical="center" shrinkToFit="1"/>
    </xf>
    <xf numFmtId="0" fontId="34" fillId="7" borderId="13" xfId="4" applyFont="1" applyFill="1" applyBorder="1" applyAlignment="1">
      <alignment horizontal="center" vertical="center" shrinkToFit="1"/>
    </xf>
    <xf numFmtId="0" fontId="30" fillId="0" borderId="3" xfId="4" applyFont="1" applyBorder="1" applyAlignment="1" applyProtection="1">
      <alignment horizontal="center" vertical="center" shrinkToFit="1"/>
      <protection locked="0"/>
    </xf>
    <xf numFmtId="0" fontId="30" fillId="0" borderId="2" xfId="4" applyFont="1" applyBorder="1" applyAlignment="1" applyProtection="1">
      <alignment horizontal="center" vertical="center" shrinkToFit="1"/>
      <protection locked="0"/>
    </xf>
    <xf numFmtId="0" fontId="30" fillId="0" borderId="2" xfId="4" applyFont="1" applyBorder="1" applyAlignment="1">
      <alignment horizontal="center" vertical="center" shrinkToFit="1"/>
    </xf>
    <xf numFmtId="0" fontId="34" fillId="7" borderId="9" xfId="4" applyFont="1" applyFill="1" applyBorder="1" applyAlignment="1">
      <alignment horizontal="center" vertical="center" shrinkToFit="1"/>
    </xf>
    <xf numFmtId="0" fontId="30" fillId="0" borderId="9" xfId="4" applyFont="1" applyBorder="1" applyAlignment="1">
      <alignment horizontal="center" vertical="center" shrinkToFit="1"/>
    </xf>
    <xf numFmtId="0" fontId="30" fillId="0" borderId="145" xfId="4" applyFont="1" applyBorder="1" applyAlignment="1">
      <alignment horizontal="center" vertical="center" shrinkToFit="1"/>
    </xf>
    <xf numFmtId="0" fontId="30" fillId="0" borderId="135" xfId="4" applyFont="1" applyBorder="1" applyAlignment="1">
      <alignment horizontal="center" vertical="center" shrinkToFit="1"/>
    </xf>
    <xf numFmtId="0" fontId="34" fillId="0" borderId="39" xfId="4" applyFont="1" applyBorder="1" applyAlignment="1" applyProtection="1">
      <alignment horizontal="center" vertical="center" shrinkToFit="1"/>
      <protection locked="0"/>
    </xf>
    <xf numFmtId="0" fontId="34" fillId="0" borderId="40" xfId="4" applyFont="1" applyBorder="1" applyAlignment="1" applyProtection="1">
      <alignment horizontal="center" vertical="center" shrinkToFit="1"/>
      <protection locked="0"/>
    </xf>
    <xf numFmtId="0" fontId="34" fillId="0" borderId="41" xfId="4" applyFont="1" applyBorder="1" applyAlignment="1" applyProtection="1">
      <alignment horizontal="center" vertical="center" shrinkToFit="1"/>
      <protection locked="0"/>
    </xf>
    <xf numFmtId="0" fontId="29" fillId="0" borderId="258" xfId="4" applyFont="1" applyBorder="1" applyAlignment="1" applyProtection="1">
      <alignment horizontal="center" vertical="center" shrinkToFit="1"/>
      <protection locked="0"/>
    </xf>
    <xf numFmtId="0" fontId="29" fillId="0" borderId="157" xfId="4" applyFont="1" applyBorder="1" applyAlignment="1" applyProtection="1">
      <alignment horizontal="center" vertical="center" shrinkToFit="1"/>
      <protection locked="0"/>
    </xf>
    <xf numFmtId="0" fontId="29" fillId="0" borderId="259" xfId="4" applyFont="1" applyBorder="1" applyAlignment="1" applyProtection="1">
      <alignment horizontal="center" vertical="center" shrinkToFit="1"/>
      <protection locked="0"/>
    </xf>
    <xf numFmtId="0" fontId="29" fillId="0" borderId="254" xfId="4" applyFont="1" applyBorder="1">
      <alignment vertical="center"/>
    </xf>
    <xf numFmtId="0" fontId="29" fillId="0" borderId="22" xfId="4" applyFont="1" applyBorder="1">
      <alignment vertical="center"/>
    </xf>
    <xf numFmtId="0" fontId="29" fillId="0" borderId="21" xfId="4" applyFont="1" applyBorder="1">
      <alignment vertical="center"/>
    </xf>
    <xf numFmtId="0" fontId="30" fillId="0" borderId="42" xfId="4" applyFont="1" applyBorder="1" applyAlignment="1">
      <alignment horizontal="center" vertical="center"/>
    </xf>
    <xf numFmtId="0" fontId="30" fillId="0" borderId="155" xfId="4" applyFont="1" applyBorder="1" applyAlignment="1">
      <alignment horizontal="center" vertical="center"/>
    </xf>
    <xf numFmtId="0" fontId="30" fillId="0" borderId="167" xfId="13" applyNumberFormat="1" applyFont="1" applyFill="1" applyBorder="1" applyAlignment="1" applyProtection="1">
      <alignment horizontal="left" vertical="center"/>
      <protection locked="0"/>
    </xf>
    <xf numFmtId="0" fontId="30" fillId="0" borderId="40" xfId="13" applyNumberFormat="1" applyFont="1" applyFill="1" applyBorder="1" applyAlignment="1" applyProtection="1">
      <alignment horizontal="left" vertical="center"/>
      <protection locked="0"/>
    </xf>
    <xf numFmtId="0" fontId="30" fillId="0" borderId="167" xfId="6" applyNumberFormat="1" applyFont="1" applyFill="1" applyBorder="1" applyAlignment="1" applyProtection="1">
      <alignment horizontal="left" vertical="center"/>
      <protection locked="0"/>
    </xf>
    <xf numFmtId="0" fontId="30" fillId="0" borderId="40" xfId="6" applyNumberFormat="1" applyFont="1" applyFill="1" applyBorder="1" applyAlignment="1" applyProtection="1">
      <alignment horizontal="left" vertical="center"/>
      <protection locked="0"/>
    </xf>
    <xf numFmtId="0" fontId="30" fillId="0" borderId="41" xfId="6" applyNumberFormat="1" applyFont="1" applyFill="1" applyBorder="1" applyAlignment="1" applyProtection="1">
      <alignment horizontal="left" vertical="center"/>
      <protection locked="0"/>
    </xf>
    <xf numFmtId="0" fontId="43" fillId="0" borderId="273" xfId="4" applyFont="1" applyBorder="1" applyAlignment="1">
      <alignment horizontal="left" vertical="center"/>
    </xf>
    <xf numFmtId="0" fontId="52" fillId="0" borderId="245" xfId="4" applyFont="1" applyBorder="1" applyAlignment="1">
      <alignment horizontal="center" vertical="center"/>
    </xf>
    <xf numFmtId="0" fontId="52" fillId="0" borderId="265" xfId="4" applyFont="1" applyBorder="1" applyAlignment="1">
      <alignment horizontal="center" vertical="center"/>
    </xf>
    <xf numFmtId="0" fontId="43" fillId="0" borderId="152" xfId="4" applyFont="1" applyBorder="1" applyAlignment="1" applyProtection="1">
      <alignment horizontal="left" vertical="center" shrinkToFit="1"/>
      <protection locked="0"/>
    </xf>
    <xf numFmtId="0" fontId="43" fillId="0" borderId="153" xfId="4" applyFont="1" applyBorder="1" applyAlignment="1" applyProtection="1">
      <alignment horizontal="left" vertical="center" shrinkToFit="1"/>
      <protection locked="0"/>
    </xf>
    <xf numFmtId="0" fontId="43" fillId="0" borderId="275" xfId="4" applyFont="1" applyBorder="1" applyAlignment="1">
      <alignment horizontal="left" vertical="center"/>
    </xf>
    <xf numFmtId="0" fontId="29" fillId="0" borderId="264" xfId="4" applyFont="1" applyBorder="1" applyAlignment="1" applyProtection="1">
      <alignment horizontal="center" vertical="center"/>
      <protection locked="0"/>
    </xf>
    <xf numFmtId="0" fontId="30" fillId="0" borderId="192" xfId="4" applyFont="1" applyBorder="1" applyAlignment="1">
      <alignment horizontal="center" vertical="center" shrinkToFit="1"/>
    </xf>
    <xf numFmtId="0" fontId="30" fillId="0" borderId="200" xfId="4" applyFont="1" applyBorder="1" applyAlignment="1">
      <alignment horizontal="center" vertical="center" shrinkToFit="1"/>
    </xf>
    <xf numFmtId="0" fontId="43" fillId="0" borderId="5" xfId="4" applyFont="1" applyBorder="1" applyAlignment="1" applyProtection="1">
      <alignment horizontal="left" vertical="center"/>
      <protection locked="0"/>
    </xf>
    <xf numFmtId="0" fontId="43" fillId="0" borderId="36" xfId="4" applyFont="1" applyBorder="1" applyAlignment="1" applyProtection="1">
      <alignment horizontal="left" vertical="center"/>
      <protection locked="0"/>
    </xf>
    <xf numFmtId="0" fontId="43" fillId="0" borderId="54" xfId="4" applyFont="1" applyBorder="1" applyAlignment="1" applyProtection="1">
      <alignment horizontal="left" vertical="center"/>
      <protection locked="0"/>
    </xf>
    <xf numFmtId="0" fontId="43" fillId="0" borderId="5" xfId="4" applyFont="1" applyBorder="1" applyAlignment="1">
      <alignment horizontal="center" vertical="center"/>
    </xf>
    <xf numFmtId="0" fontId="43" fillId="0" borderId="92" xfId="4" applyFont="1" applyBorder="1" applyAlignment="1">
      <alignment horizontal="center" vertical="center"/>
    </xf>
    <xf numFmtId="0" fontId="43" fillId="0" borderId="248" xfId="4" applyFont="1" applyBorder="1" applyAlignment="1" applyProtection="1">
      <alignment horizontal="left" vertical="center"/>
      <protection locked="0"/>
    </xf>
    <xf numFmtId="0" fontId="43" fillId="0" borderId="153" xfId="4" applyFont="1" applyBorder="1" applyAlignment="1" applyProtection="1">
      <alignment horizontal="left" vertical="center"/>
      <protection locked="0"/>
    </xf>
    <xf numFmtId="0" fontId="43" fillId="0" borderId="154" xfId="4" applyFont="1" applyBorder="1" applyAlignment="1" applyProtection="1">
      <alignment horizontal="left" vertical="center"/>
      <protection locked="0"/>
    </xf>
    <xf numFmtId="10" fontId="34" fillId="0" borderId="264" xfId="6" applyNumberFormat="1" applyFont="1" applyFill="1" applyBorder="1" applyAlignment="1" applyProtection="1">
      <alignment horizontal="right" vertical="center" shrinkToFit="1"/>
      <protection locked="0"/>
    </xf>
    <xf numFmtId="0" fontId="34" fillId="19" borderId="35" xfId="4" applyFont="1" applyFill="1" applyBorder="1" applyAlignment="1">
      <alignment horizontal="center" vertical="center" shrinkToFit="1"/>
    </xf>
    <xf numFmtId="0" fontId="34" fillId="0" borderId="31" xfId="4" applyFont="1" applyBorder="1" applyAlignment="1">
      <alignment horizontal="left" vertical="center" shrinkToFit="1"/>
    </xf>
    <xf numFmtId="0" fontId="34" fillId="0" borderId="32" xfId="4" applyFont="1" applyBorder="1" applyAlignment="1">
      <alignment horizontal="left" vertical="center" shrinkToFit="1"/>
    </xf>
    <xf numFmtId="0" fontId="36" fillId="0" borderId="36" xfId="4" applyFont="1" applyBorder="1" applyAlignment="1">
      <alignment horizontal="left" vertical="center" shrinkToFit="1"/>
    </xf>
    <xf numFmtId="0" fontId="36" fillId="0" borderId="37" xfId="4" applyFont="1" applyBorder="1" applyAlignment="1">
      <alignment horizontal="left" vertical="center" shrinkToFit="1"/>
    </xf>
    <xf numFmtId="0" fontId="34" fillId="62" borderId="71" xfId="4" applyFont="1" applyFill="1" applyBorder="1" applyAlignment="1">
      <alignment horizontal="center" vertical="center" wrapText="1"/>
    </xf>
    <xf numFmtId="0" fontId="34" fillId="62" borderId="114" xfId="4" applyFont="1" applyFill="1" applyBorder="1" applyAlignment="1">
      <alignment horizontal="center" vertical="center" wrapText="1"/>
    </xf>
    <xf numFmtId="0" fontId="34" fillId="62" borderId="54" xfId="4" applyFont="1" applyFill="1" applyBorder="1" applyAlignment="1">
      <alignment horizontal="center" vertical="center" wrapText="1"/>
    </xf>
    <xf numFmtId="0" fontId="34" fillId="62" borderId="70" xfId="4" applyFont="1" applyFill="1" applyBorder="1" applyAlignment="1">
      <alignment horizontal="center" vertical="center" wrapText="1" shrinkToFit="1"/>
    </xf>
    <xf numFmtId="0" fontId="34" fillId="62" borderId="71" xfId="4" applyFont="1" applyFill="1" applyBorder="1" applyAlignment="1">
      <alignment horizontal="center" vertical="center" wrapText="1" shrinkToFit="1"/>
    </xf>
    <xf numFmtId="0" fontId="34" fillId="62" borderId="115" xfId="4" applyFont="1" applyFill="1" applyBorder="1" applyAlignment="1">
      <alignment horizontal="center" vertical="center" wrapText="1" shrinkToFit="1"/>
    </xf>
    <xf numFmtId="0" fontId="34" fillId="62" borderId="5" xfId="4" applyFont="1" applyFill="1" applyBorder="1" applyAlignment="1">
      <alignment horizontal="center" vertical="center" wrapText="1" shrinkToFit="1"/>
    </xf>
    <xf numFmtId="0" fontId="34" fillId="62" borderId="36" xfId="4" applyFont="1" applyFill="1" applyBorder="1" applyAlignment="1">
      <alignment horizontal="center" vertical="center" wrapText="1" shrinkToFit="1"/>
    </xf>
    <xf numFmtId="0" fontId="34" fillId="62" borderId="80" xfId="4" applyFont="1" applyFill="1" applyBorder="1" applyAlignment="1">
      <alignment horizontal="center" vertical="center" wrapText="1" shrinkToFit="1"/>
    </xf>
    <xf numFmtId="49" fontId="43" fillId="0" borderId="152" xfId="4" applyNumberFormat="1" applyFont="1" applyBorder="1" applyAlignment="1">
      <alignment horizontal="center" vertical="center" shrinkToFit="1"/>
    </xf>
    <xf numFmtId="49" fontId="43" fillId="0" borderId="153" xfId="4" applyNumberFormat="1" applyFont="1" applyBorder="1" applyAlignment="1">
      <alignment horizontal="center" vertical="center" shrinkToFit="1"/>
    </xf>
    <xf numFmtId="49" fontId="43" fillId="0" borderId="154" xfId="4" applyNumberFormat="1" applyFont="1" applyBorder="1" applyAlignment="1">
      <alignment horizontal="center" vertical="center" shrinkToFit="1"/>
    </xf>
    <xf numFmtId="0" fontId="43" fillId="0" borderId="153" xfId="4" applyFont="1" applyBorder="1" applyAlignment="1">
      <alignment horizontal="center" vertical="center"/>
    </xf>
    <xf numFmtId="0" fontId="51" fillId="0" borderId="0" xfId="4" applyFont="1" applyAlignment="1">
      <alignment horizontal="center" vertical="center"/>
    </xf>
    <xf numFmtId="0" fontId="29" fillId="0" borderId="274" xfId="4" applyFont="1" applyBorder="1" applyAlignment="1">
      <alignment horizontal="center" vertical="center" wrapText="1"/>
    </xf>
    <xf numFmtId="0" fontId="29" fillId="0" borderId="274" xfId="4" applyFont="1" applyBorder="1" applyAlignment="1">
      <alignment horizontal="center" vertical="center"/>
    </xf>
    <xf numFmtId="0" fontId="34" fillId="0" borderId="274" xfId="4" applyFont="1" applyBorder="1" applyAlignment="1">
      <alignment horizontal="center" vertical="center"/>
    </xf>
    <xf numFmtId="0" fontId="46" fillId="0" borderId="274" xfId="4" applyFont="1" applyBorder="1" applyAlignment="1">
      <alignment horizontal="center" vertical="center" wrapText="1"/>
    </xf>
    <xf numFmtId="0" fontId="46" fillId="0" borderId="274" xfId="4" applyFont="1" applyBorder="1" applyAlignment="1">
      <alignment horizontal="center" vertical="center"/>
    </xf>
    <xf numFmtId="0" fontId="34" fillId="0" borderId="274" xfId="0" applyFont="1" applyBorder="1" applyAlignment="1">
      <alignment horizontal="center" vertical="center"/>
    </xf>
    <xf numFmtId="184" fontId="29" fillId="6" borderId="1" xfId="5" applyNumberFormat="1" applyFont="1" applyFill="1" applyBorder="1" applyAlignment="1" applyProtection="1">
      <alignment horizontal="left" vertical="center" shrinkToFit="1"/>
    </xf>
    <xf numFmtId="184" fontId="29" fillId="6" borderId="165" xfId="5" applyNumberFormat="1" applyFont="1" applyFill="1" applyBorder="1" applyAlignment="1" applyProtection="1">
      <alignment horizontal="left" vertical="center" shrinkToFit="1"/>
    </xf>
    <xf numFmtId="49" fontId="31" fillId="6" borderId="162" xfId="13" applyNumberFormat="1" applyFont="1" applyFill="1" applyBorder="1" applyAlignment="1" applyProtection="1">
      <alignment horizontal="left" vertical="center" wrapText="1" shrinkToFit="1"/>
    </xf>
    <xf numFmtId="49" fontId="31" fillId="6" borderId="163" xfId="13" applyNumberFormat="1" applyFont="1" applyFill="1" applyBorder="1" applyAlignment="1" applyProtection="1">
      <alignment horizontal="left" vertical="center" shrinkToFit="1"/>
    </xf>
    <xf numFmtId="49" fontId="31" fillId="6" borderId="164" xfId="13" applyNumberFormat="1" applyFont="1" applyFill="1" applyBorder="1" applyAlignment="1" applyProtection="1">
      <alignment horizontal="left" vertical="center" shrinkToFit="1"/>
    </xf>
    <xf numFmtId="49" fontId="31" fillId="6" borderId="161" xfId="13" applyNumberFormat="1" applyFont="1" applyFill="1" applyBorder="1" applyAlignment="1" applyProtection="1">
      <alignment horizontal="left" vertical="center" shrinkToFit="1"/>
    </xf>
    <xf numFmtId="49" fontId="31" fillId="6" borderId="157" xfId="13" applyNumberFormat="1" applyFont="1" applyFill="1" applyBorder="1" applyAlignment="1" applyProtection="1">
      <alignment horizontal="left" vertical="center" shrinkToFit="1"/>
    </xf>
    <xf numFmtId="49" fontId="31" fillId="6" borderId="158" xfId="13" applyNumberFormat="1" applyFont="1" applyFill="1" applyBorder="1" applyAlignment="1" applyProtection="1">
      <alignment horizontal="left" vertical="center" shrinkToFit="1"/>
    </xf>
    <xf numFmtId="6" fontId="34" fillId="19" borderId="166" xfId="13" applyFont="1" applyFill="1" applyBorder="1" applyAlignment="1" applyProtection="1">
      <alignment horizontal="center" vertical="center" shrinkToFit="1"/>
    </xf>
    <xf numFmtId="0" fontId="29" fillId="19" borderId="7" xfId="4" applyFont="1" applyFill="1" applyBorder="1" applyAlignment="1">
      <alignment horizontal="center" vertical="center" wrapText="1" shrinkToFit="1"/>
    </xf>
    <xf numFmtId="0" fontId="29" fillId="19" borderId="147" xfId="4" applyFont="1" applyFill="1" applyBorder="1" applyAlignment="1">
      <alignment horizontal="center" vertical="center" wrapText="1" shrinkToFit="1"/>
    </xf>
    <xf numFmtId="0" fontId="29" fillId="19" borderId="149" xfId="4" applyFont="1" applyFill="1" applyBorder="1" applyAlignment="1">
      <alignment horizontal="center" vertical="center" wrapText="1" shrinkToFit="1"/>
    </xf>
    <xf numFmtId="49" fontId="29" fillId="6" borderId="6" xfId="13" applyNumberFormat="1" applyFont="1" applyFill="1" applyBorder="1" applyAlignment="1" applyProtection="1">
      <alignment horizontal="center" vertical="center" wrapText="1" shrinkToFit="1"/>
      <protection locked="0"/>
    </xf>
    <xf numFmtId="0" fontId="29" fillId="6" borderId="6" xfId="13" applyNumberFormat="1" applyFont="1" applyFill="1" applyBorder="1" applyAlignment="1" applyProtection="1">
      <alignment horizontal="center" vertical="center" shrinkToFit="1"/>
      <protection locked="0"/>
    </xf>
    <xf numFmtId="0" fontId="29" fillId="6" borderId="3" xfId="13" applyNumberFormat="1" applyFont="1" applyFill="1" applyBorder="1" applyAlignment="1" applyProtection="1">
      <alignment horizontal="center" vertical="center" shrinkToFit="1"/>
      <protection locked="0"/>
    </xf>
    <xf numFmtId="0" fontId="30" fillId="19" borderId="263" xfId="4" applyFont="1" applyFill="1" applyBorder="1" applyAlignment="1">
      <alignment horizontal="center" vertical="center" shrinkToFit="1"/>
    </xf>
    <xf numFmtId="0" fontId="30" fillId="19" borderId="245" xfId="4" applyFont="1" applyFill="1" applyBorder="1" applyAlignment="1">
      <alignment horizontal="center" vertical="center" shrinkToFit="1"/>
    </xf>
    <xf numFmtId="0" fontId="30" fillId="19" borderId="256" xfId="4" applyFont="1" applyFill="1" applyBorder="1" applyAlignment="1">
      <alignment horizontal="center" vertical="center" shrinkToFit="1"/>
    </xf>
    <xf numFmtId="0" fontId="34" fillId="0" borderId="107" xfId="4" applyFont="1" applyBorder="1" applyAlignment="1">
      <alignment horizontal="center" vertical="center" shrinkToFit="1"/>
    </xf>
    <xf numFmtId="0" fontId="34" fillId="0" borderId="285" xfId="4" applyFont="1" applyBorder="1" applyAlignment="1">
      <alignment horizontal="center" vertical="center" shrinkToFit="1"/>
    </xf>
    <xf numFmtId="0" fontId="34" fillId="0" borderId="290" xfId="4" applyFont="1" applyBorder="1" applyAlignment="1">
      <alignment horizontal="center" vertical="center" shrinkToFit="1"/>
    </xf>
    <xf numFmtId="0" fontId="29" fillId="8" borderId="245" xfId="6" applyNumberFormat="1" applyFont="1" applyFill="1" applyBorder="1" applyAlignment="1" applyProtection="1">
      <alignment horizontal="right" vertical="center" shrinkToFit="1"/>
    </xf>
    <xf numFmtId="0" fontId="29" fillId="8" borderId="245" xfId="6" applyNumberFormat="1" applyFont="1" applyFill="1" applyBorder="1" applyAlignment="1" applyProtection="1">
      <alignment horizontal="left" vertical="center" shrinkToFit="1"/>
      <protection locked="0"/>
    </xf>
    <xf numFmtId="0" fontId="29" fillId="8" borderId="265" xfId="6" applyNumberFormat="1" applyFont="1" applyFill="1" applyBorder="1" applyAlignment="1" applyProtection="1">
      <alignment horizontal="left" vertical="center" shrinkToFit="1"/>
      <protection locked="0"/>
    </xf>
    <xf numFmtId="0" fontId="46" fillId="0" borderId="274" xfId="0" applyFont="1" applyBorder="1" applyAlignment="1">
      <alignment horizontal="center" vertical="center"/>
    </xf>
    <xf numFmtId="0" fontId="30" fillId="0" borderId="100" xfId="4" applyFont="1" applyBorder="1" applyAlignment="1">
      <alignment horizontal="left" vertical="center" shrinkToFit="1"/>
    </xf>
    <xf numFmtId="0" fontId="30" fillId="0" borderId="99" xfId="4" applyFont="1" applyBorder="1" applyAlignment="1">
      <alignment horizontal="left" vertical="center" shrinkToFit="1"/>
    </xf>
    <xf numFmtId="0" fontId="30" fillId="0" borderId="232" xfId="4" applyFont="1" applyBorder="1" applyAlignment="1">
      <alignment horizontal="left" vertical="center" shrinkToFit="1"/>
    </xf>
    <xf numFmtId="6" fontId="34" fillId="0" borderId="99" xfId="5" applyFont="1" applyBorder="1" applyAlignment="1" applyProtection="1">
      <alignment horizontal="left" vertical="center" shrinkToFit="1"/>
    </xf>
    <xf numFmtId="0" fontId="29" fillId="0" borderId="311" xfId="4" applyFont="1" applyBorder="1" applyAlignment="1">
      <alignment horizontal="left" vertical="center" shrinkToFit="1"/>
    </xf>
    <xf numFmtId="0" fontId="29" fillId="0" borderId="99" xfId="4" applyFont="1" applyBorder="1" applyAlignment="1">
      <alignment horizontal="left" vertical="center" shrinkToFit="1"/>
    </xf>
    <xf numFmtId="0" fontId="29" fillId="0" borderId="104" xfId="4" applyFont="1" applyBorder="1" applyAlignment="1">
      <alignment horizontal="left" vertical="center" shrinkToFit="1"/>
    </xf>
    <xf numFmtId="0" fontId="30" fillId="0" borderId="42" xfId="4" applyFont="1" applyBorder="1" applyAlignment="1">
      <alignment horizontal="left" vertical="center" shrinkToFit="1"/>
    </xf>
    <xf numFmtId="0" fontId="30" fillId="0" borderId="40" xfId="4" applyFont="1" applyBorder="1" applyAlignment="1">
      <alignment horizontal="left" vertical="center" shrinkToFit="1"/>
    </xf>
    <xf numFmtId="0" fontId="30" fillId="0" borderId="41" xfId="4" applyFont="1" applyBorder="1" applyAlignment="1">
      <alignment horizontal="left" vertical="center" shrinkToFit="1"/>
    </xf>
    <xf numFmtId="0" fontId="34" fillId="0" borderId="40" xfId="5" applyNumberFormat="1" applyFont="1" applyBorder="1" applyAlignment="1" applyProtection="1">
      <alignment horizontal="left" vertical="center" shrinkToFit="1"/>
    </xf>
    <xf numFmtId="0" fontId="29" fillId="0" borderId="312" xfId="4" applyFont="1" applyBorder="1" applyAlignment="1">
      <alignment horizontal="left" vertical="center" shrinkToFit="1"/>
    </xf>
    <xf numFmtId="0" fontId="29" fillId="0" borderId="285" xfId="4" applyFont="1" applyBorder="1" applyAlignment="1">
      <alignment horizontal="left" vertical="center" shrinkToFit="1"/>
    </xf>
    <xf numFmtId="0" fontId="29" fillId="0" borderId="69" xfId="4" applyFont="1" applyBorder="1" applyAlignment="1">
      <alignment horizontal="left" vertical="center" shrinkToFit="1"/>
    </xf>
    <xf numFmtId="0" fontId="78" fillId="0" borderId="192" xfId="4" applyFont="1" applyBorder="1" applyAlignment="1">
      <alignment horizontal="left" vertical="center" wrapText="1"/>
    </xf>
    <xf numFmtId="0" fontId="78" fillId="0" borderId="2" xfId="4" applyFont="1" applyBorder="1" applyAlignment="1">
      <alignment horizontal="left" vertical="center" wrapText="1"/>
    </xf>
    <xf numFmtId="0" fontId="78" fillId="0" borderId="193" xfId="4" applyFont="1" applyBorder="1" applyAlignment="1">
      <alignment horizontal="left" vertical="center" wrapText="1"/>
    </xf>
    <xf numFmtId="0" fontId="78" fillId="0" borderId="195" xfId="4" applyFont="1" applyBorder="1" applyAlignment="1">
      <alignment horizontal="left" vertical="center" wrapText="1"/>
    </xf>
    <xf numFmtId="0" fontId="78" fillId="0" borderId="8" xfId="4" applyFont="1" applyBorder="1" applyAlignment="1">
      <alignment horizontal="left" vertical="center" wrapText="1"/>
    </xf>
    <xf numFmtId="0" fontId="78" fillId="0" borderId="38" xfId="4" applyFont="1" applyBorder="1" applyAlignment="1">
      <alignment horizontal="left" vertical="center" wrapText="1"/>
    </xf>
    <xf numFmtId="0" fontId="78" fillId="0" borderId="5" xfId="4" applyFont="1" applyBorder="1" applyAlignment="1">
      <alignment horizontal="left" vertical="center" wrapText="1"/>
    </xf>
    <xf numFmtId="0" fontId="78" fillId="0" borderId="54" xfId="4" applyFont="1" applyBorder="1" applyAlignment="1">
      <alignment horizontal="left" vertical="center" wrapText="1"/>
    </xf>
    <xf numFmtId="0" fontId="19" fillId="0" borderId="30" xfId="4" applyFont="1" applyBorder="1" applyAlignment="1" applyProtection="1">
      <alignment vertical="center" wrapText="1"/>
      <protection locked="0"/>
    </xf>
    <xf numFmtId="0" fontId="19" fillId="0" borderId="31" xfId="4" applyFont="1" applyBorder="1" applyAlignment="1" applyProtection="1">
      <alignment vertical="center" wrapText="1"/>
      <protection locked="0"/>
    </xf>
    <xf numFmtId="0" fontId="19" fillId="0" borderId="32" xfId="4" applyFont="1" applyBorder="1" applyAlignment="1" applyProtection="1">
      <alignment vertical="center" wrapText="1"/>
      <protection locked="0"/>
    </xf>
    <xf numFmtId="0" fontId="19" fillId="0" borderId="39" xfId="4" applyFont="1" applyBorder="1" applyAlignment="1" applyProtection="1">
      <alignment vertical="center" wrapText="1"/>
      <protection locked="0"/>
    </xf>
    <xf numFmtId="0" fontId="19" fillId="0" borderId="40" xfId="4" applyFont="1" applyBorder="1" applyAlignment="1" applyProtection="1">
      <alignment vertical="center" wrapText="1"/>
      <protection locked="0"/>
    </xf>
    <xf numFmtId="0" fontId="19" fillId="0" borderId="43" xfId="4" applyFont="1" applyBorder="1" applyAlignment="1" applyProtection="1">
      <alignment vertical="center" wrapText="1"/>
      <protection locked="0"/>
    </xf>
    <xf numFmtId="0" fontId="79" fillId="32" borderId="192" xfId="4" applyFont="1" applyFill="1" applyBorder="1" applyAlignment="1">
      <alignment horizontal="center" vertical="center" wrapText="1"/>
    </xf>
    <xf numFmtId="0" fontId="79" fillId="32" borderId="2" xfId="4" applyFont="1" applyFill="1" applyBorder="1" applyAlignment="1">
      <alignment horizontal="center" vertical="center" wrapText="1"/>
    </xf>
    <xf numFmtId="0" fontId="79" fillId="32" borderId="192" xfId="4" applyFont="1" applyFill="1" applyBorder="1" applyAlignment="1">
      <alignment horizontal="center" vertical="center"/>
    </xf>
    <xf numFmtId="0" fontId="79" fillId="32" borderId="2" xfId="4" applyFont="1" applyFill="1" applyBorder="1" applyAlignment="1">
      <alignment horizontal="center" vertical="center"/>
    </xf>
    <xf numFmtId="0" fontId="11" fillId="0" borderId="2" xfId="4" applyBorder="1" applyAlignment="1">
      <alignment horizontal="left" vertical="center"/>
    </xf>
    <xf numFmtId="0" fontId="10" fillId="0" borderId="217" xfId="4" applyFont="1" applyBorder="1" applyAlignment="1" applyProtection="1">
      <alignment horizontal="left" vertical="center"/>
      <protection locked="0"/>
    </xf>
    <xf numFmtId="0" fontId="10" fillId="0" borderId="218" xfId="4" applyFont="1" applyBorder="1" applyAlignment="1" applyProtection="1">
      <alignment horizontal="left" vertical="center"/>
      <protection locked="0"/>
    </xf>
    <xf numFmtId="0" fontId="74" fillId="0" borderId="0" xfId="4" applyFont="1" applyAlignment="1">
      <alignment horizontal="center" vertical="center" wrapText="1"/>
    </xf>
    <xf numFmtId="0" fontId="10" fillId="0" borderId="60" xfId="4" applyFont="1" applyBorder="1" applyAlignment="1">
      <alignment horizontal="left" vertical="center" shrinkToFit="1"/>
    </xf>
    <xf numFmtId="0" fontId="10" fillId="0" borderId="57" xfId="4" applyFont="1" applyBorder="1" applyAlignment="1">
      <alignment horizontal="left" vertical="center" shrinkToFit="1"/>
    </xf>
    <xf numFmtId="188" fontId="10" fillId="0" borderId="215" xfId="4" quotePrefix="1" applyNumberFormat="1" applyFont="1" applyBorder="1" applyAlignment="1">
      <alignment horizontal="left" vertical="center"/>
    </xf>
    <xf numFmtId="188" fontId="10" fillId="0" borderId="216" xfId="4" applyNumberFormat="1" applyFont="1" applyBorder="1" applyAlignment="1">
      <alignment horizontal="left" vertical="center"/>
    </xf>
    <xf numFmtId="0" fontId="10" fillId="0" borderId="215" xfId="4" applyFont="1" applyBorder="1" applyAlignment="1">
      <alignment horizontal="left" vertical="center"/>
    </xf>
    <xf numFmtId="0" fontId="10" fillId="0" borderId="216" xfId="4" applyFont="1" applyBorder="1" applyAlignment="1">
      <alignment horizontal="left" vertical="center"/>
    </xf>
    <xf numFmtId="176" fontId="10" fillId="0" borderId="215" xfId="4" applyNumberFormat="1" applyFont="1" applyBorder="1" applyAlignment="1">
      <alignment horizontal="left" vertical="center"/>
    </xf>
    <xf numFmtId="176" fontId="10" fillId="0" borderId="216" xfId="4" applyNumberFormat="1" applyFont="1" applyBorder="1" applyAlignment="1">
      <alignment horizontal="left" vertical="center"/>
    </xf>
    <xf numFmtId="0" fontId="42" fillId="26" borderId="341" xfId="0" applyFont="1" applyFill="1" applyBorder="1" applyAlignment="1">
      <alignment horizontal="center" vertical="center"/>
    </xf>
    <xf numFmtId="0" fontId="42" fillId="26" borderId="54" xfId="0" applyFont="1" applyFill="1" applyBorder="1" applyAlignment="1">
      <alignment horizontal="center" vertical="center"/>
    </xf>
    <xf numFmtId="0" fontId="42" fillId="26" borderId="11" xfId="0" applyFont="1" applyFill="1" applyBorder="1" applyAlignment="1">
      <alignment horizontal="center" vertical="center"/>
    </xf>
    <xf numFmtId="0" fontId="42" fillId="26" borderId="187" xfId="0" applyFont="1" applyFill="1" applyBorder="1" applyAlignment="1">
      <alignment horizontal="center" vertical="center"/>
    </xf>
    <xf numFmtId="0" fontId="42" fillId="26" borderId="188" xfId="0" applyFont="1" applyFill="1" applyBorder="1" applyAlignment="1">
      <alignment horizontal="center" vertical="center"/>
    </xf>
    <xf numFmtId="0" fontId="42" fillId="26" borderId="189" xfId="0" applyFont="1" applyFill="1" applyBorder="1" applyAlignment="1">
      <alignment horizontal="center" vertical="center"/>
    </xf>
    <xf numFmtId="0" fontId="42" fillId="0" borderId="11" xfId="0" applyFont="1" applyBorder="1" applyAlignment="1">
      <alignment horizontal="left" vertical="center" wrapText="1"/>
    </xf>
    <xf numFmtId="0" fontId="42" fillId="0" borderId="11" xfId="0" applyFont="1" applyBorder="1" applyAlignment="1">
      <alignment horizontal="left" vertical="center"/>
    </xf>
    <xf numFmtId="0" fontId="42" fillId="0" borderId="189" xfId="0" applyFont="1" applyBorder="1" applyAlignment="1">
      <alignment horizontal="left" vertical="center"/>
    </xf>
    <xf numFmtId="0" fontId="42" fillId="0" borderId="5" xfId="0" applyFont="1" applyBorder="1" applyAlignment="1">
      <alignment horizontal="left" vertical="center" wrapText="1"/>
    </xf>
    <xf numFmtId="0" fontId="42" fillId="0" borderId="342" xfId="0" applyFont="1" applyBorder="1" applyAlignment="1">
      <alignment horizontal="left" vertical="center" wrapText="1"/>
    </xf>
    <xf numFmtId="0" fontId="42" fillId="0" borderId="189" xfId="0" applyFont="1" applyBorder="1" applyAlignment="1">
      <alignment horizontal="left" vertical="center" wrapText="1"/>
    </xf>
    <xf numFmtId="0" fontId="42" fillId="0" borderId="190" xfId="0" applyFont="1" applyBorder="1" applyAlignment="1">
      <alignment horizontal="left" vertical="center" wrapText="1"/>
    </xf>
    <xf numFmtId="0" fontId="42" fillId="0" borderId="191" xfId="0" applyFont="1" applyBorder="1" applyAlignment="1">
      <alignment horizontal="left" vertical="center" wrapText="1"/>
    </xf>
    <xf numFmtId="0" fontId="42" fillId="26" borderId="185" xfId="0" applyFont="1" applyFill="1" applyBorder="1" applyAlignment="1">
      <alignment horizontal="center" vertical="center"/>
    </xf>
    <xf numFmtId="0" fontId="42" fillId="26" borderId="271" xfId="0" applyFont="1" applyFill="1" applyBorder="1" applyAlignment="1">
      <alignment horizontal="center" vertical="center"/>
    </xf>
    <xf numFmtId="0" fontId="42" fillId="26" borderId="274" xfId="0" applyFont="1" applyFill="1" applyBorder="1" applyAlignment="1">
      <alignment horizontal="center" vertical="center"/>
    </xf>
    <xf numFmtId="0" fontId="42" fillId="0" borderId="274" xfId="0" applyFont="1" applyBorder="1" applyAlignment="1">
      <alignment horizontal="left" vertical="center" wrapText="1"/>
    </xf>
    <xf numFmtId="0" fontId="42" fillId="0" borderId="274" xfId="0" applyFont="1" applyBorder="1" applyAlignment="1">
      <alignment horizontal="left" vertical="center"/>
    </xf>
    <xf numFmtId="0" fontId="42" fillId="0" borderId="269" xfId="0" applyFont="1" applyBorder="1" applyAlignment="1">
      <alignment horizontal="left" vertical="center"/>
    </xf>
    <xf numFmtId="0" fontId="42" fillId="0" borderId="186" xfId="0" applyFont="1" applyBorder="1" applyAlignment="1">
      <alignment horizontal="left" vertical="center"/>
    </xf>
    <xf numFmtId="0" fontId="42" fillId="0" borderId="269" xfId="0" applyFont="1" applyBorder="1" applyAlignment="1">
      <alignment horizontal="left" vertical="center" wrapText="1"/>
    </xf>
    <xf numFmtId="0" fontId="42" fillId="0" borderId="186" xfId="0" applyFont="1" applyBorder="1" applyAlignment="1">
      <alignment horizontal="left" vertical="center" wrapText="1"/>
    </xf>
    <xf numFmtId="0" fontId="42" fillId="25" borderId="180" xfId="0" applyFont="1" applyFill="1" applyBorder="1" applyAlignment="1">
      <alignment horizontal="center" vertical="center"/>
    </xf>
    <xf numFmtId="0" fontId="42" fillId="25" borderId="181" xfId="0" applyFont="1" applyFill="1" applyBorder="1" applyAlignment="1">
      <alignment horizontal="center" vertical="center"/>
    </xf>
    <xf numFmtId="0" fontId="42" fillId="25" borderId="182" xfId="0" applyFont="1" applyFill="1" applyBorder="1" applyAlignment="1">
      <alignment horizontal="center" vertical="center"/>
    </xf>
    <xf numFmtId="0" fontId="42" fillId="25" borderId="185" xfId="0" applyFont="1" applyFill="1" applyBorder="1" applyAlignment="1">
      <alignment horizontal="center" vertical="center"/>
    </xf>
    <xf numFmtId="0" fontId="42" fillId="25" borderId="271" xfId="0" applyFont="1" applyFill="1" applyBorder="1" applyAlignment="1">
      <alignment horizontal="center" vertical="center"/>
    </xf>
    <xf numFmtId="0" fontId="42" fillId="25" borderId="274" xfId="0" applyFont="1" applyFill="1" applyBorder="1" applyAlignment="1">
      <alignment horizontal="center" vertical="center"/>
    </xf>
    <xf numFmtId="0" fontId="42" fillId="25" borderId="183" xfId="0" applyFont="1" applyFill="1" applyBorder="1" applyAlignment="1">
      <alignment horizontal="center" vertical="center"/>
    </xf>
    <xf numFmtId="0" fontId="42" fillId="25" borderId="184" xfId="0" applyFont="1" applyFill="1" applyBorder="1" applyAlignment="1">
      <alignment horizontal="center" vertical="center"/>
    </xf>
    <xf numFmtId="0" fontId="42" fillId="25" borderId="269" xfId="0" applyFont="1" applyFill="1" applyBorder="1" applyAlignment="1">
      <alignment horizontal="center" vertical="center"/>
    </xf>
    <xf numFmtId="0" fontId="42" fillId="25" borderId="186" xfId="0" applyFont="1" applyFill="1" applyBorder="1" applyAlignment="1">
      <alignment horizontal="center" vertical="center"/>
    </xf>
    <xf numFmtId="0" fontId="65" fillId="0" borderId="137" xfId="0" applyFont="1" applyBorder="1" applyAlignment="1">
      <alignment horizontal="center" vertical="center"/>
    </xf>
    <xf numFmtId="0" fontId="65" fillId="0" borderId="0" xfId="0" applyFont="1" applyAlignment="1">
      <alignment horizontal="center" vertical="center"/>
    </xf>
    <xf numFmtId="0" fontId="42" fillId="25" borderId="169" xfId="0" applyFont="1" applyFill="1" applyBorder="1" applyAlignment="1">
      <alignment horizontal="center" vertical="center"/>
    </xf>
    <xf numFmtId="0" fontId="42" fillId="25" borderId="137" xfId="0" applyFont="1" applyFill="1" applyBorder="1" applyAlignment="1">
      <alignment horizontal="center" vertical="center"/>
    </xf>
    <xf numFmtId="0" fontId="42" fillId="25" borderId="170" xfId="0" applyFont="1" applyFill="1" applyBorder="1" applyAlignment="1">
      <alignment horizontal="center" vertical="center"/>
    </xf>
    <xf numFmtId="0" fontId="42" fillId="25" borderId="173" xfId="0" applyFont="1" applyFill="1" applyBorder="1" applyAlignment="1">
      <alignment horizontal="center" vertical="center"/>
    </xf>
    <xf numFmtId="0" fontId="42" fillId="25" borderId="36" xfId="0" applyFont="1" applyFill="1" applyBorder="1" applyAlignment="1">
      <alignment horizontal="center" vertical="center"/>
    </xf>
    <xf numFmtId="0" fontId="42" fillId="25" borderId="174" xfId="0" applyFont="1" applyFill="1" applyBorder="1" applyAlignment="1">
      <alignment horizontal="center" vertical="center"/>
    </xf>
    <xf numFmtId="0" fontId="42" fillId="25" borderId="171" xfId="0" applyFont="1" applyFill="1" applyBorder="1" applyAlignment="1">
      <alignment horizontal="center" vertical="center"/>
    </xf>
    <xf numFmtId="0" fontId="42" fillId="25" borderId="0" xfId="0" applyFont="1" applyFill="1" applyAlignment="1">
      <alignment horizontal="center" vertical="center"/>
    </xf>
    <xf numFmtId="0" fontId="42" fillId="25" borderId="172" xfId="0" applyFont="1" applyFill="1" applyBorder="1" applyAlignment="1">
      <alignment horizontal="center" vertical="center"/>
    </xf>
    <xf numFmtId="0" fontId="42" fillId="26" borderId="175" xfId="0" applyFont="1" applyFill="1" applyBorder="1" applyAlignment="1">
      <alignment horizontal="center" vertical="center"/>
    </xf>
    <xf numFmtId="0" fontId="42" fillId="26" borderId="273" xfId="0" applyFont="1" applyFill="1" applyBorder="1" applyAlignment="1">
      <alignment horizontal="center" vertical="center"/>
    </xf>
    <xf numFmtId="0" fontId="42" fillId="26" borderId="176" xfId="0" applyFont="1" applyFill="1" applyBorder="1" applyAlignment="1">
      <alignment horizontal="center" vertical="center"/>
    </xf>
    <xf numFmtId="0" fontId="42" fillId="26" borderId="171" xfId="0" applyFont="1" applyFill="1" applyBorder="1" applyAlignment="1">
      <alignment horizontal="center" vertical="center"/>
    </xf>
    <xf numFmtId="0" fontId="42" fillId="26" borderId="0" xfId="0" applyFont="1" applyFill="1" applyAlignment="1">
      <alignment horizontal="center" vertical="center"/>
    </xf>
    <xf numFmtId="0" fontId="42" fillId="26" borderId="172" xfId="0" applyFont="1" applyFill="1" applyBorder="1" applyAlignment="1">
      <alignment horizontal="center" vertical="center"/>
    </xf>
    <xf numFmtId="0" fontId="42" fillId="26" borderId="177" xfId="0" applyFont="1" applyFill="1" applyBorder="1" applyAlignment="1">
      <alignment horizontal="center" vertical="center"/>
    </xf>
    <xf numFmtId="0" fontId="42" fillId="26" borderId="178" xfId="0" applyFont="1" applyFill="1" applyBorder="1" applyAlignment="1">
      <alignment horizontal="center" vertical="center"/>
    </xf>
    <xf numFmtId="0" fontId="42" fillId="26" borderId="179" xfId="0" applyFont="1" applyFill="1" applyBorder="1" applyAlignment="1">
      <alignment horizontal="center" vertical="center"/>
    </xf>
    <xf numFmtId="0" fontId="28" fillId="0" borderId="40" xfId="4" applyFont="1" applyBorder="1" applyAlignment="1">
      <alignment horizontal="left" vertical="top" wrapText="1"/>
    </xf>
    <xf numFmtId="0" fontId="34" fillId="8" borderId="8" xfId="4" applyFont="1" applyFill="1" applyBorder="1" applyAlignment="1">
      <alignment horizontal="left" vertical="center" shrinkToFit="1"/>
    </xf>
    <xf numFmtId="0" fontId="34" fillId="8" borderId="34" xfId="4" applyFont="1" applyFill="1" applyBorder="1" applyAlignment="1">
      <alignment horizontal="left" vertical="center" shrinkToFit="1"/>
    </xf>
    <xf numFmtId="0" fontId="34" fillId="0" borderId="63" xfId="4" applyFont="1" applyBorder="1" applyAlignment="1">
      <alignment horizontal="left" vertical="center"/>
    </xf>
    <xf numFmtId="0" fontId="34" fillId="0" borderId="31" xfId="4" applyFont="1" applyBorder="1" applyAlignment="1">
      <alignment horizontal="left" vertical="center"/>
    </xf>
    <xf numFmtId="0" fontId="34" fillId="0" borderId="32" xfId="4" applyFont="1" applyBorder="1" applyAlignment="1">
      <alignment horizontal="left" vertical="center"/>
    </xf>
    <xf numFmtId="0" fontId="34" fillId="0" borderId="8" xfId="4" applyFont="1" applyBorder="1" applyAlignment="1">
      <alignment horizontal="left" vertical="center"/>
    </xf>
    <xf numFmtId="0" fontId="34" fillId="0" borderId="34" xfId="4" applyFont="1" applyBorder="1" applyAlignment="1">
      <alignment horizontal="left" vertical="center"/>
    </xf>
    <xf numFmtId="0" fontId="34" fillId="8" borderId="8" xfId="4" applyFont="1" applyFill="1" applyBorder="1" applyAlignment="1">
      <alignment horizontal="left" vertical="center"/>
    </xf>
    <xf numFmtId="0" fontId="34" fillId="8" borderId="0" xfId="4" applyFont="1" applyFill="1" applyAlignment="1">
      <alignment horizontal="left" vertical="center"/>
    </xf>
    <xf numFmtId="0" fontId="34" fillId="8" borderId="34" xfId="4" applyFont="1" applyFill="1" applyBorder="1" applyAlignment="1">
      <alignment horizontal="left" vertical="center"/>
    </xf>
    <xf numFmtId="49" fontId="39" fillId="0" borderId="8" xfId="4" applyNumberFormat="1" applyFont="1" applyBorder="1" applyAlignment="1" applyProtection="1">
      <alignment horizontal="left" vertical="center" shrinkToFit="1"/>
      <protection locked="0"/>
    </xf>
    <xf numFmtId="49" fontId="39" fillId="0" borderId="0" xfId="4" applyNumberFormat="1" applyFont="1" applyAlignment="1" applyProtection="1">
      <alignment horizontal="left" vertical="center" shrinkToFit="1"/>
      <protection locked="0"/>
    </xf>
    <xf numFmtId="49" fontId="39" fillId="0" borderId="34" xfId="4" applyNumberFormat="1" applyFont="1" applyBorder="1" applyAlignment="1" applyProtection="1">
      <alignment horizontal="left" vertical="center" shrinkToFit="1"/>
      <protection locked="0"/>
    </xf>
    <xf numFmtId="49" fontId="39" fillId="0" borderId="5" xfId="4" applyNumberFormat="1" applyFont="1" applyBorder="1" applyAlignment="1" applyProtection="1">
      <alignment horizontal="left" vertical="center" shrinkToFit="1"/>
      <protection locked="0"/>
    </xf>
    <xf numFmtId="49" fontId="39" fillId="0" borderId="36" xfId="4" applyNumberFormat="1" applyFont="1" applyBorder="1" applyAlignment="1" applyProtection="1">
      <alignment horizontal="left" vertical="center" shrinkToFit="1"/>
      <protection locked="0"/>
    </xf>
    <xf numFmtId="49" fontId="39" fillId="0" borderId="37" xfId="4" applyNumberFormat="1" applyFont="1" applyBorder="1" applyAlignment="1" applyProtection="1">
      <alignment horizontal="left" vertical="center" shrinkToFit="1"/>
      <protection locked="0"/>
    </xf>
    <xf numFmtId="49" fontId="29" fillId="0" borderId="47" xfId="4" applyNumberFormat="1" applyFont="1" applyBorder="1" applyAlignment="1" applyProtection="1">
      <alignment horizontal="center" vertical="center" shrinkToFit="1"/>
      <protection locked="0"/>
    </xf>
    <xf numFmtId="49" fontId="29" fillId="0" borderId="45" xfId="4" applyNumberFormat="1" applyFont="1" applyBorder="1" applyAlignment="1" applyProtection="1">
      <alignment horizontal="center" vertical="center" shrinkToFit="1"/>
      <protection locked="0"/>
    </xf>
    <xf numFmtId="49" fontId="29" fillId="0" borderId="303" xfId="4" applyNumberFormat="1" applyFont="1" applyBorder="1" applyAlignment="1" applyProtection="1">
      <alignment horizontal="center" vertical="center" shrinkToFit="1"/>
      <protection locked="0"/>
    </xf>
    <xf numFmtId="49" fontId="29" fillId="0" borderId="46" xfId="4" applyNumberFormat="1" applyFont="1" applyBorder="1" applyAlignment="1" applyProtection="1">
      <alignment horizontal="center" vertical="center" shrinkToFit="1"/>
      <protection locked="0"/>
    </xf>
    <xf numFmtId="49" fontId="39" fillId="0" borderId="52" xfId="4" applyNumberFormat="1" applyFont="1" applyBorder="1" applyAlignment="1" applyProtection="1">
      <alignment horizontal="center" vertical="center" shrinkToFit="1"/>
      <protection locked="0"/>
    </xf>
    <xf numFmtId="49" fontId="39" fillId="0" borderId="50" xfId="4" applyNumberFormat="1" applyFont="1" applyBorder="1" applyAlignment="1" applyProtection="1">
      <alignment horizontal="center" vertical="center" shrinkToFit="1"/>
      <protection locked="0"/>
    </xf>
    <xf numFmtId="49" fontId="39" fillId="0" borderId="304" xfId="4" applyNumberFormat="1" applyFont="1" applyBorder="1" applyAlignment="1" applyProtection="1">
      <alignment horizontal="center" vertical="center" shrinkToFit="1"/>
      <protection locked="0"/>
    </xf>
    <xf numFmtId="49" fontId="39" fillId="0" borderId="8" xfId="4" applyNumberFormat="1" applyFont="1" applyBorder="1" applyAlignment="1" applyProtection="1">
      <alignment horizontal="center" vertical="center" shrinkToFit="1"/>
      <protection locked="0"/>
    </xf>
    <xf numFmtId="49" fontId="39" fillId="0" borderId="0" xfId="4" applyNumberFormat="1" applyFont="1" applyAlignment="1" applyProtection="1">
      <alignment horizontal="center" vertical="center" shrinkToFit="1"/>
      <protection locked="0"/>
    </xf>
    <xf numFmtId="49" fontId="39" fillId="0" borderId="88" xfId="4" applyNumberFormat="1" applyFont="1" applyBorder="1" applyAlignment="1" applyProtection="1">
      <alignment horizontal="center" vertical="center" shrinkToFit="1"/>
      <protection locked="0"/>
    </xf>
    <xf numFmtId="49" fontId="39" fillId="0" borderId="5" xfId="4" applyNumberFormat="1" applyFont="1" applyBorder="1" applyAlignment="1" applyProtection="1">
      <alignment horizontal="center" vertical="center" shrinkToFit="1"/>
      <protection locked="0"/>
    </xf>
    <xf numFmtId="49" fontId="39" fillId="0" borderId="36" xfId="4" applyNumberFormat="1" applyFont="1" applyBorder="1" applyAlignment="1" applyProtection="1">
      <alignment horizontal="center" vertical="center" shrinkToFit="1"/>
      <protection locked="0"/>
    </xf>
    <xf numFmtId="49" fontId="39" fillId="0" borderId="92" xfId="4" applyNumberFormat="1" applyFont="1" applyBorder="1" applyAlignment="1" applyProtection="1">
      <alignment horizontal="center" vertical="center" shrinkToFit="1"/>
      <protection locked="0"/>
    </xf>
    <xf numFmtId="49" fontId="39" fillId="0" borderId="51" xfId="4" applyNumberFormat="1" applyFont="1" applyBorder="1" applyAlignment="1" applyProtection="1">
      <alignment horizontal="center" vertical="center" shrinkToFit="1"/>
      <protection locked="0"/>
    </xf>
    <xf numFmtId="49" fontId="39" fillId="0" borderId="38" xfId="4" applyNumberFormat="1" applyFont="1" applyBorder="1" applyAlignment="1" applyProtection="1">
      <alignment horizontal="center" vertical="center" shrinkToFit="1"/>
      <protection locked="0"/>
    </xf>
    <xf numFmtId="49" fontId="39" fillId="0" borderId="54" xfId="4" applyNumberFormat="1" applyFont="1" applyBorder="1" applyAlignment="1" applyProtection="1">
      <alignment horizontal="center" vertical="center" shrinkToFit="1"/>
      <protection locked="0"/>
    </xf>
    <xf numFmtId="49" fontId="29" fillId="0" borderId="56" xfId="4" applyNumberFormat="1" applyFont="1" applyBorder="1" applyAlignment="1" applyProtection="1">
      <alignment horizontal="center" vertical="center" shrinkToFit="1"/>
      <protection locked="0"/>
    </xf>
    <xf numFmtId="49" fontId="29" fillId="0" borderId="57" xfId="4" applyNumberFormat="1" applyFont="1" applyBorder="1" applyAlignment="1" applyProtection="1">
      <alignment horizontal="center" vertical="center" shrinkToFit="1"/>
      <protection locked="0"/>
    </xf>
    <xf numFmtId="49" fontId="29" fillId="0" borderId="60" xfId="4" applyNumberFormat="1" applyFont="1" applyBorder="1" applyAlignment="1" applyProtection="1">
      <alignment horizontal="center" vertical="center" shrinkToFit="1"/>
      <protection locked="0"/>
    </xf>
    <xf numFmtId="49" fontId="29" fillId="0" borderId="213" xfId="4" applyNumberFormat="1" applyFont="1" applyBorder="1" applyAlignment="1" applyProtection="1">
      <alignment horizontal="center" vertical="center" shrinkToFit="1"/>
      <protection locked="0"/>
    </xf>
    <xf numFmtId="49" fontId="30" fillId="0" borderId="234" xfId="4" applyNumberFormat="1" applyFont="1" applyBorder="1" applyAlignment="1" applyProtection="1">
      <alignment horizontal="center" vertical="center" shrinkToFit="1"/>
      <protection locked="0"/>
    </xf>
    <xf numFmtId="49" fontId="30" fillId="0" borderId="235" xfId="4" applyNumberFormat="1" applyFont="1" applyBorder="1" applyAlignment="1" applyProtection="1">
      <alignment horizontal="center" vertical="center" shrinkToFit="1"/>
      <protection locked="0"/>
    </xf>
    <xf numFmtId="49" fontId="39" fillId="0" borderId="237" xfId="4" applyNumberFormat="1" applyFont="1" applyBorder="1" applyAlignment="1" applyProtection="1">
      <alignment horizontal="center" vertical="center" shrinkToFit="1"/>
      <protection locked="0"/>
    </xf>
    <xf numFmtId="49" fontId="39" fillId="0" borderId="238" xfId="4" applyNumberFormat="1" applyFont="1" applyBorder="1" applyAlignment="1" applyProtection="1">
      <alignment horizontal="center" vertical="center" shrinkToFit="1"/>
      <protection locked="0"/>
    </xf>
    <xf numFmtId="49" fontId="39" fillId="0" borderId="240" xfId="4" applyNumberFormat="1" applyFont="1" applyBorder="1" applyAlignment="1" applyProtection="1">
      <alignment horizontal="center" vertical="center" shrinkToFit="1"/>
      <protection locked="0"/>
    </xf>
    <xf numFmtId="49" fontId="39" fillId="0" borderId="241" xfId="4" applyNumberFormat="1" applyFont="1" applyBorder="1" applyAlignment="1" applyProtection="1">
      <alignment horizontal="center" vertical="center" shrinkToFit="1"/>
      <protection locked="0"/>
    </xf>
    <xf numFmtId="49" fontId="39" fillId="0" borderId="210" xfId="4" applyNumberFormat="1" applyFont="1" applyBorder="1" applyAlignment="1" applyProtection="1">
      <alignment horizontal="left" shrinkToFit="1"/>
      <protection locked="0"/>
    </xf>
    <xf numFmtId="49" fontId="39" fillId="0" borderId="206" xfId="4" applyNumberFormat="1" applyFont="1" applyBorder="1" applyAlignment="1" applyProtection="1">
      <alignment horizontal="left" shrinkToFit="1"/>
      <protection locked="0"/>
    </xf>
    <xf numFmtId="49" fontId="30" fillId="0" borderId="47" xfId="4" applyNumberFormat="1" applyFont="1" applyBorder="1" applyAlignment="1" applyProtection="1">
      <alignment horizontal="left" vertical="center" shrinkToFit="1"/>
      <protection locked="0"/>
    </xf>
    <xf numFmtId="49" fontId="30" fillId="0" borderId="45" xfId="4" applyNumberFormat="1" applyFont="1" applyBorder="1" applyAlignment="1" applyProtection="1">
      <alignment horizontal="left" vertical="center" shrinkToFit="1"/>
      <protection locked="0"/>
    </xf>
    <xf numFmtId="49" fontId="30" fillId="0" borderId="48" xfId="4" applyNumberFormat="1" applyFont="1" applyBorder="1" applyAlignment="1" applyProtection="1">
      <alignment horizontal="left" vertical="center" shrinkToFit="1"/>
      <protection locked="0"/>
    </xf>
    <xf numFmtId="49" fontId="34" fillId="60" borderId="60" xfId="4" applyNumberFormat="1" applyFont="1" applyFill="1" applyBorder="1" applyAlignment="1" applyProtection="1">
      <alignment horizontal="left" vertical="center" shrinkToFit="1"/>
      <protection locked="0"/>
    </xf>
    <xf numFmtId="49" fontId="34" fillId="60" borderId="56" xfId="4" applyNumberFormat="1" applyFont="1" applyFill="1" applyBorder="1" applyAlignment="1" applyProtection="1">
      <alignment horizontal="left" vertical="center" shrinkToFit="1"/>
      <protection locked="0"/>
    </xf>
    <xf numFmtId="49" fontId="34" fillId="60" borderId="57" xfId="4" applyNumberFormat="1" applyFont="1" applyFill="1" applyBorder="1" applyAlignment="1" applyProtection="1">
      <alignment horizontal="left" vertical="center" shrinkToFit="1"/>
      <protection locked="0"/>
    </xf>
    <xf numFmtId="49" fontId="39" fillId="0" borderId="52" xfId="4" applyNumberFormat="1" applyFont="1" applyBorder="1" applyAlignment="1" applyProtection="1">
      <alignment horizontal="left" vertical="center" wrapText="1" shrinkToFit="1"/>
      <protection locked="0"/>
    </xf>
    <xf numFmtId="49" fontId="39" fillId="0" borderId="50" xfId="4" applyNumberFormat="1" applyFont="1" applyBorder="1" applyAlignment="1" applyProtection="1">
      <alignment horizontal="left" vertical="center" wrapText="1" shrinkToFit="1"/>
      <protection locked="0"/>
    </xf>
    <xf numFmtId="49" fontId="39" fillId="0" borderId="51" xfId="4" applyNumberFormat="1" applyFont="1" applyBorder="1" applyAlignment="1" applyProtection="1">
      <alignment horizontal="left" vertical="center" wrapText="1" shrinkToFit="1"/>
      <protection locked="0"/>
    </xf>
    <xf numFmtId="49" fontId="39" fillId="0" borderId="8" xfId="4" applyNumberFormat="1" applyFont="1" applyBorder="1" applyAlignment="1" applyProtection="1">
      <alignment horizontal="left" vertical="center" wrapText="1" shrinkToFit="1"/>
      <protection locked="0"/>
    </xf>
    <xf numFmtId="49" fontId="39" fillId="0" borderId="0" xfId="4" applyNumberFormat="1" applyFont="1" applyAlignment="1" applyProtection="1">
      <alignment horizontal="left" vertical="center" wrapText="1" shrinkToFit="1"/>
      <protection locked="0"/>
    </xf>
    <xf numFmtId="49" fontId="39" fillId="0" borderId="38" xfId="4" applyNumberFormat="1" applyFont="1" applyBorder="1" applyAlignment="1" applyProtection="1">
      <alignment horizontal="left" vertical="center" wrapText="1" shrinkToFit="1"/>
      <protection locked="0"/>
    </xf>
    <xf numFmtId="49" fontId="123" fillId="0" borderId="8" xfId="4" quotePrefix="1" applyNumberFormat="1" applyFont="1" applyBorder="1" applyAlignment="1" applyProtection="1">
      <alignment horizontal="left" vertical="center" shrinkToFit="1"/>
      <protection locked="0"/>
    </xf>
    <xf numFmtId="49" fontId="123" fillId="0" borderId="0" xfId="4" quotePrefix="1" applyNumberFormat="1" applyFont="1" applyAlignment="1" applyProtection="1">
      <alignment horizontal="left" vertical="center" shrinkToFit="1"/>
      <protection locked="0"/>
    </xf>
    <xf numFmtId="49" fontId="123" fillId="0" borderId="34" xfId="4" quotePrefix="1" applyNumberFormat="1" applyFont="1" applyBorder="1" applyAlignment="1" applyProtection="1">
      <alignment horizontal="left" vertical="center" shrinkToFit="1"/>
      <protection locked="0"/>
    </xf>
    <xf numFmtId="49" fontId="39" fillId="0" borderId="52" xfId="4" applyNumberFormat="1" applyFont="1" applyBorder="1" applyAlignment="1" applyProtection="1">
      <alignment horizontal="left" vertical="center" shrinkToFit="1"/>
      <protection locked="0"/>
    </xf>
    <xf numFmtId="49" fontId="39" fillId="0" borderId="50" xfId="4" applyNumberFormat="1" applyFont="1" applyBorder="1" applyAlignment="1" applyProtection="1">
      <alignment horizontal="left" vertical="center" shrinkToFit="1"/>
      <protection locked="0"/>
    </xf>
    <xf numFmtId="49" fontId="39" fillId="0" borderId="51" xfId="4" applyNumberFormat="1" applyFont="1" applyBorder="1" applyAlignment="1" applyProtection="1">
      <alignment horizontal="left" vertical="center" shrinkToFit="1"/>
      <protection locked="0"/>
    </xf>
    <xf numFmtId="49" fontId="39" fillId="0" borderId="54" xfId="4" applyNumberFormat="1" applyFont="1" applyBorder="1" applyAlignment="1" applyProtection="1">
      <alignment horizontal="left" vertical="center" shrinkToFit="1"/>
      <protection locked="0"/>
    </xf>
    <xf numFmtId="49" fontId="39" fillId="0" borderId="53" xfId="4" applyNumberFormat="1" applyFont="1" applyBorder="1" applyAlignment="1" applyProtection="1">
      <alignment horizontal="left" vertical="center" shrinkToFit="1"/>
      <protection locked="0"/>
    </xf>
    <xf numFmtId="49" fontId="123" fillId="0" borderId="193" xfId="4" applyNumberFormat="1" applyFont="1" applyBorder="1" applyAlignment="1" applyProtection="1">
      <alignment horizontal="left" vertical="center"/>
      <protection locked="0"/>
    </xf>
    <xf numFmtId="49" fontId="123" fillId="0" borderId="194" xfId="4" applyNumberFormat="1" applyFont="1" applyBorder="1" applyAlignment="1" applyProtection="1">
      <alignment horizontal="left" vertical="center"/>
      <protection locked="0"/>
    </xf>
    <xf numFmtId="49" fontId="123" fillId="0" borderId="196" xfId="4" applyNumberFormat="1" applyFont="1" applyBorder="1" applyAlignment="1" applyProtection="1">
      <alignment horizontal="left" vertical="center"/>
      <protection locked="0"/>
    </xf>
    <xf numFmtId="49" fontId="123" fillId="0" borderId="5" xfId="4" applyNumberFormat="1" applyFont="1" applyBorder="1" applyAlignment="1" applyProtection="1">
      <alignment horizontal="left" vertical="center"/>
      <protection locked="0"/>
    </xf>
    <xf numFmtId="49" fontId="123" fillId="0" borderId="36" xfId="4" applyNumberFormat="1" applyFont="1" applyBorder="1" applyAlignment="1" applyProtection="1">
      <alignment horizontal="left" vertical="center"/>
      <protection locked="0"/>
    </xf>
    <xf numFmtId="49" fontId="123" fillId="0" borderId="37" xfId="4" applyNumberFormat="1" applyFont="1" applyBorder="1" applyAlignment="1" applyProtection="1">
      <alignment horizontal="left" vertical="center"/>
      <protection locked="0"/>
    </xf>
    <xf numFmtId="49" fontId="34" fillId="0" borderId="7" xfId="4" applyNumberFormat="1" applyFont="1" applyBorder="1" applyAlignment="1" applyProtection="1">
      <alignment horizontal="left" vertical="center" wrapText="1" shrinkToFit="1"/>
      <protection locked="0"/>
    </xf>
    <xf numFmtId="49" fontId="34" fillId="0" borderId="12" xfId="4" applyNumberFormat="1" applyFont="1" applyBorder="1" applyAlignment="1" applyProtection="1">
      <alignment horizontal="left" vertical="center" wrapText="1" shrinkToFit="1"/>
      <protection locked="0"/>
    </xf>
    <xf numFmtId="49" fontId="34" fillId="0" borderId="61" xfId="4" applyNumberFormat="1" applyFont="1" applyBorder="1" applyAlignment="1" applyProtection="1">
      <alignment horizontal="left" vertical="center" wrapText="1" shrinkToFit="1"/>
      <protection locked="0"/>
    </xf>
    <xf numFmtId="49" fontId="34" fillId="0" borderId="5" xfId="4" applyNumberFormat="1" applyFont="1" applyBorder="1" applyAlignment="1" applyProtection="1">
      <alignment horizontal="left" vertical="center" wrapText="1" shrinkToFit="1"/>
      <protection locked="0"/>
    </xf>
    <xf numFmtId="49" fontId="34" fillId="0" borderId="36" xfId="4" applyNumberFormat="1" applyFont="1" applyBorder="1" applyAlignment="1" applyProtection="1">
      <alignment horizontal="left" vertical="center" wrapText="1" shrinkToFit="1"/>
      <protection locked="0"/>
    </xf>
    <xf numFmtId="49" fontId="34" fillId="0" borderId="37" xfId="4" applyNumberFormat="1" applyFont="1" applyBorder="1" applyAlignment="1" applyProtection="1">
      <alignment horizontal="left" vertical="center" wrapText="1" shrinkToFit="1"/>
      <protection locked="0"/>
    </xf>
    <xf numFmtId="0" fontId="47" fillId="0" borderId="31" xfId="4" applyFont="1" applyBorder="1" applyAlignment="1">
      <alignment horizontal="center" vertical="center"/>
    </xf>
    <xf numFmtId="0" fontId="47" fillId="0" borderId="0" xfId="4" applyFont="1" applyAlignment="1">
      <alignment horizontal="center" vertical="center"/>
    </xf>
    <xf numFmtId="0" fontId="34" fillId="0" borderId="8" xfId="4" applyFont="1" applyBorder="1" applyAlignment="1">
      <alignment horizontal="left" vertical="center" wrapText="1"/>
    </xf>
    <xf numFmtId="49" fontId="43" fillId="0" borderId="5" xfId="0" quotePrefix="1" applyNumberFormat="1" applyFont="1" applyBorder="1" applyAlignment="1" applyProtection="1">
      <alignment horizontal="center" vertical="center"/>
      <protection locked="0"/>
    </xf>
    <xf numFmtId="49" fontId="43" fillId="0" borderId="36" xfId="0" quotePrefix="1" applyNumberFormat="1" applyFont="1" applyBorder="1" applyAlignment="1" applyProtection="1">
      <alignment horizontal="center" vertical="center"/>
      <protection locked="0"/>
    </xf>
    <xf numFmtId="49" fontId="43" fillId="0" borderId="37" xfId="0" quotePrefix="1" applyNumberFormat="1" applyFont="1" applyBorder="1" applyAlignment="1" applyProtection="1">
      <alignment horizontal="center" vertical="center"/>
      <protection locked="0"/>
    </xf>
    <xf numFmtId="0" fontId="34" fillId="0" borderId="273" xfId="4" applyFont="1" applyBorder="1" applyAlignment="1" applyProtection="1">
      <alignment horizontal="center" vertical="center" shrinkToFit="1"/>
      <protection locked="0"/>
    </xf>
    <xf numFmtId="0" fontId="34" fillId="0" borderId="36" xfId="4" applyFont="1" applyBorder="1" applyAlignment="1" applyProtection="1">
      <alignment horizontal="center" vertical="center" shrinkToFit="1"/>
      <protection locked="0"/>
    </xf>
    <xf numFmtId="49" fontId="30" fillId="0" borderId="287" xfId="4" applyNumberFormat="1" applyFont="1" applyBorder="1" applyAlignment="1">
      <alignment horizontal="center" vertical="center" shrinkToFit="1"/>
    </xf>
    <xf numFmtId="49" fontId="30" fillId="0" borderId="37" xfId="4" applyNumberFormat="1" applyFont="1" applyBorder="1" applyAlignment="1">
      <alignment horizontal="center" vertical="center" shrinkToFit="1"/>
    </xf>
    <xf numFmtId="49" fontId="40" fillId="0" borderId="6" xfId="10" quotePrefix="1" applyNumberFormat="1" applyFont="1" applyFill="1" applyBorder="1" applyAlignment="1" applyProtection="1">
      <alignment horizontal="center" vertical="center" shrinkToFit="1"/>
      <protection locked="0"/>
    </xf>
    <xf numFmtId="49" fontId="30" fillId="0" borderId="6" xfId="4" applyNumberFormat="1" applyFont="1" applyBorder="1" applyAlignment="1" applyProtection="1">
      <alignment horizontal="center" vertical="center" shrinkToFit="1"/>
      <protection locked="0"/>
    </xf>
    <xf numFmtId="49" fontId="30" fillId="0" borderId="84" xfId="4" applyNumberFormat="1" applyFont="1" applyBorder="1" applyAlignment="1" applyProtection="1">
      <alignment horizontal="center" vertical="center" shrinkToFit="1"/>
      <protection locked="0"/>
    </xf>
    <xf numFmtId="49" fontId="30" fillId="0" borderId="11" xfId="4" applyNumberFormat="1" applyFont="1" applyBorder="1" applyAlignment="1" applyProtection="1">
      <alignment horizontal="center" vertical="center" shrinkToFit="1"/>
      <protection locked="0"/>
    </xf>
    <xf numFmtId="49" fontId="30" fillId="0" borderId="85" xfId="4" applyNumberFormat="1" applyFont="1" applyBorder="1" applyAlignment="1" applyProtection="1">
      <alignment horizontal="center" vertical="center" shrinkToFit="1"/>
      <protection locked="0"/>
    </xf>
    <xf numFmtId="49" fontId="30" fillId="0" borderId="82" xfId="4" applyNumberFormat="1" applyFont="1" applyBorder="1" applyAlignment="1" applyProtection="1">
      <alignment horizontal="center" vertical="center" shrinkToFit="1"/>
      <protection locked="0"/>
    </xf>
    <xf numFmtId="49" fontId="30" fillId="0" borderId="83" xfId="4" applyNumberFormat="1" applyFont="1" applyBorder="1" applyAlignment="1" applyProtection="1">
      <alignment horizontal="center" vertical="center" shrinkToFit="1"/>
      <protection locked="0"/>
    </xf>
    <xf numFmtId="49" fontId="30" fillId="0" borderId="233" xfId="4" applyNumberFormat="1" applyFont="1" applyBorder="1" applyAlignment="1" applyProtection="1">
      <alignment horizontal="center" vertical="center" shrinkToFit="1"/>
      <protection locked="0"/>
    </xf>
    <xf numFmtId="49" fontId="39" fillId="0" borderId="236" xfId="4" applyNumberFormat="1" applyFont="1" applyBorder="1" applyAlignment="1" applyProtection="1">
      <alignment horizontal="center" vertical="center" shrinkToFit="1"/>
      <protection locked="0"/>
    </xf>
    <xf numFmtId="49" fontId="39" fillId="0" borderId="239" xfId="4" applyNumberFormat="1" applyFont="1" applyBorder="1" applyAlignment="1" applyProtection="1">
      <alignment horizontal="center" vertical="center" shrinkToFit="1"/>
      <protection locked="0"/>
    </xf>
    <xf numFmtId="49" fontId="123" fillId="0" borderId="193" xfId="4" applyNumberFormat="1" applyFont="1" applyBorder="1" applyAlignment="1" applyProtection="1">
      <alignment horizontal="left" vertical="center" shrinkToFit="1"/>
      <protection locked="0"/>
    </xf>
    <xf numFmtId="49" fontId="123" fillId="0" borderId="194" xfId="4" applyNumberFormat="1" applyFont="1" applyBorder="1" applyAlignment="1" applyProtection="1">
      <alignment horizontal="left" vertical="center" shrinkToFit="1"/>
      <protection locked="0"/>
    </xf>
    <xf numFmtId="49" fontId="123" fillId="0" borderId="8" xfId="4" applyNumberFormat="1" applyFont="1" applyBorder="1" applyAlignment="1" applyProtection="1">
      <alignment horizontal="left" vertical="center" shrinkToFit="1"/>
      <protection locked="0"/>
    </xf>
    <xf numFmtId="49" fontId="123" fillId="0" borderId="0" xfId="4" applyNumberFormat="1" applyFont="1" applyAlignment="1" applyProtection="1">
      <alignment horizontal="left" vertical="center" shrinkToFit="1"/>
      <protection locked="0"/>
    </xf>
    <xf numFmtId="49" fontId="123" fillId="0" borderId="5" xfId="4" applyNumberFormat="1" applyFont="1" applyBorder="1" applyAlignment="1" applyProtection="1">
      <alignment horizontal="left" vertical="center" shrinkToFit="1"/>
      <protection locked="0"/>
    </xf>
    <xf numFmtId="49" fontId="123" fillId="0" borderId="36" xfId="4" applyNumberFormat="1" applyFont="1" applyBorder="1" applyAlignment="1" applyProtection="1">
      <alignment horizontal="left" vertical="center" shrinkToFit="1"/>
      <protection locked="0"/>
    </xf>
    <xf numFmtId="49" fontId="39" fillId="0" borderId="193" xfId="4" applyNumberFormat="1" applyFont="1" applyBorder="1" applyAlignment="1" applyProtection="1">
      <alignment horizontal="left" vertical="center" shrinkToFit="1"/>
      <protection locked="0"/>
    </xf>
    <xf numFmtId="49" fontId="39" fillId="0" borderId="194" xfId="4" applyNumberFormat="1" applyFont="1" applyBorder="1" applyAlignment="1" applyProtection="1">
      <alignment horizontal="left" vertical="center" shrinkToFit="1"/>
      <protection locked="0"/>
    </xf>
    <xf numFmtId="49" fontId="39" fillId="0" borderId="196" xfId="4" applyNumberFormat="1" applyFont="1" applyBorder="1" applyAlignment="1" applyProtection="1">
      <alignment horizontal="left" vertical="center" shrinkToFit="1"/>
      <protection locked="0"/>
    </xf>
    <xf numFmtId="0" fontId="34" fillId="0" borderId="39" xfId="4" applyFont="1" applyBorder="1" applyAlignment="1">
      <alignment horizontal="left" vertical="center" shrinkToFit="1"/>
    </xf>
    <xf numFmtId="0" fontId="34" fillId="0" borderId="40" xfId="4" applyFont="1" applyBorder="1" applyAlignment="1">
      <alignment horizontal="left" vertical="center" shrinkToFit="1"/>
    </xf>
    <xf numFmtId="0" fontId="34" fillId="0" borderId="43" xfId="4" applyFont="1" applyBorder="1" applyAlignment="1">
      <alignment horizontal="left" vertical="center" shrinkToFit="1"/>
    </xf>
    <xf numFmtId="0" fontId="29" fillId="0" borderId="22" xfId="6" applyNumberFormat="1" applyFont="1" applyFill="1" applyBorder="1" applyAlignment="1" applyProtection="1">
      <alignment horizontal="left" vertical="center" shrinkToFit="1"/>
    </xf>
    <xf numFmtId="0" fontId="29" fillId="0" borderId="20" xfId="6" applyNumberFormat="1" applyFont="1" applyFill="1" applyBorder="1" applyAlignment="1" applyProtection="1">
      <alignment horizontal="left" vertical="center" shrinkToFit="1"/>
    </xf>
    <xf numFmtId="0" fontId="29" fillId="0" borderId="301" xfId="6" applyNumberFormat="1" applyFont="1" applyFill="1" applyBorder="1" applyAlignment="1" applyProtection="1">
      <alignment horizontal="left" vertical="center" shrinkToFit="1"/>
    </xf>
    <xf numFmtId="10" fontId="34" fillId="8" borderId="269" xfId="5" applyNumberFormat="1" applyFont="1" applyFill="1" applyBorder="1" applyAlignment="1" applyProtection="1">
      <alignment horizontal="right" vertical="center" shrinkToFit="1"/>
      <protection locked="0"/>
    </xf>
    <xf numFmtId="10" fontId="34" fillId="8" borderId="270" xfId="5" applyNumberFormat="1" applyFont="1" applyFill="1" applyBorder="1" applyAlignment="1" applyProtection="1">
      <alignment horizontal="right" vertical="center" shrinkToFit="1"/>
      <protection locked="0"/>
    </xf>
    <xf numFmtId="10" fontId="34" fillId="8" borderId="271" xfId="5" applyNumberFormat="1" applyFont="1" applyFill="1" applyBorder="1" applyAlignment="1" applyProtection="1">
      <alignment horizontal="right" vertical="center" shrinkToFit="1"/>
      <protection locked="0"/>
    </xf>
    <xf numFmtId="10" fontId="34" fillId="8" borderId="0" xfId="5" applyNumberFormat="1" applyFont="1" applyFill="1" applyBorder="1" applyAlignment="1" applyProtection="1">
      <alignment horizontal="right" vertical="center" shrinkToFit="1"/>
      <protection locked="0"/>
    </xf>
    <xf numFmtId="10" fontId="34" fillId="8" borderId="38" xfId="5" applyNumberFormat="1" applyFont="1" applyFill="1" applyBorder="1" applyAlignment="1" applyProtection="1">
      <alignment horizontal="right" vertical="center" shrinkToFit="1"/>
      <protection locked="0"/>
    </xf>
    <xf numFmtId="10" fontId="34" fillId="0" borderId="36" xfId="5" applyNumberFormat="1" applyFont="1" applyFill="1" applyBorder="1" applyAlignment="1" applyProtection="1">
      <alignment horizontal="right" vertical="center" shrinkToFit="1"/>
      <protection locked="0"/>
    </xf>
    <xf numFmtId="10" fontId="34" fillId="0" borderId="54" xfId="5" applyNumberFormat="1" applyFont="1" applyFill="1" applyBorder="1" applyAlignment="1" applyProtection="1">
      <alignment horizontal="right" vertical="center" shrinkToFit="1"/>
      <protection locked="0"/>
    </xf>
    <xf numFmtId="6" fontId="34" fillId="16" borderId="274" xfId="13" applyFont="1" applyFill="1" applyBorder="1" applyAlignment="1" applyProtection="1">
      <alignment horizontal="right" vertical="center" shrinkToFit="1"/>
      <protection locked="0"/>
    </xf>
    <xf numFmtId="0" fontId="29" fillId="0" borderId="274" xfId="4" applyFont="1" applyBorder="1" applyProtection="1">
      <alignment vertical="center"/>
      <protection locked="0"/>
    </xf>
    <xf numFmtId="0" fontId="29" fillId="0" borderId="289" xfId="4" applyFont="1" applyBorder="1" applyAlignment="1" applyProtection="1">
      <alignment horizontal="center" vertical="center" shrinkToFit="1"/>
      <protection locked="0"/>
    </xf>
    <xf numFmtId="6" fontId="34" fillId="16" borderId="257" xfId="13" applyFont="1" applyFill="1" applyBorder="1" applyAlignment="1" applyProtection="1">
      <alignment horizontal="right" vertical="center" shrinkToFit="1"/>
      <protection locked="0"/>
    </xf>
    <xf numFmtId="6" fontId="34" fillId="16" borderId="245" xfId="13" applyFont="1" applyFill="1" applyBorder="1" applyAlignment="1" applyProtection="1">
      <alignment horizontal="right" vertical="center" shrinkToFit="1"/>
      <protection locked="0"/>
    </xf>
    <xf numFmtId="6" fontId="34" fillId="16" borderId="256" xfId="13" applyFont="1" applyFill="1" applyBorder="1" applyAlignment="1" applyProtection="1">
      <alignment horizontal="right" vertical="center" shrinkToFit="1"/>
      <protection locked="0"/>
    </xf>
    <xf numFmtId="0" fontId="29" fillId="0" borderId="264" xfId="4" applyFont="1" applyBorder="1" applyProtection="1">
      <alignment vertical="center"/>
      <protection locked="0"/>
    </xf>
    <xf numFmtId="0" fontId="29" fillId="0" borderId="245" xfId="0" applyFont="1" applyBorder="1" applyAlignment="1">
      <alignment vertical="center" shrinkToFit="1"/>
    </xf>
    <xf numFmtId="0" fontId="29" fillId="0" borderId="265" xfId="0" applyFont="1" applyBorder="1" applyAlignment="1">
      <alignment vertical="center" shrinkToFit="1"/>
    </xf>
    <xf numFmtId="0" fontId="52" fillId="0" borderId="257" xfId="4" applyFont="1" applyBorder="1" applyAlignment="1">
      <alignment horizontal="right" vertical="center" shrinkToFit="1"/>
    </xf>
    <xf numFmtId="0" fontId="52" fillId="0" borderId="245" xfId="4" applyFont="1" applyBorder="1" applyAlignment="1">
      <alignment horizontal="right" vertical="center" shrinkToFit="1"/>
    </xf>
    <xf numFmtId="0" fontId="43" fillId="0" borderId="23" xfId="4" applyFont="1" applyBorder="1" applyAlignment="1" applyProtection="1">
      <alignment horizontal="left" vertical="center"/>
      <protection locked="0"/>
    </xf>
    <xf numFmtId="6" fontId="34" fillId="16" borderId="264" xfId="13" applyFont="1" applyFill="1" applyBorder="1" applyAlignment="1" applyProtection="1">
      <alignment horizontal="right" vertical="center" shrinkToFit="1"/>
      <protection locked="0"/>
    </xf>
    <xf numFmtId="6" fontId="30" fillId="0" borderId="270" xfId="5" applyFont="1" applyBorder="1" applyAlignment="1" applyProtection="1">
      <alignment horizontal="left" vertical="center"/>
    </xf>
    <xf numFmtId="6" fontId="30" fillId="0" borderId="271" xfId="5" applyFont="1" applyBorder="1" applyAlignment="1" applyProtection="1">
      <alignment horizontal="left" vertical="center"/>
    </xf>
    <xf numFmtId="0" fontId="30" fillId="0" borderId="270" xfId="5" applyNumberFormat="1" applyFont="1" applyBorder="1" applyAlignment="1" applyProtection="1">
      <alignment horizontal="left" vertical="center"/>
    </xf>
    <xf numFmtId="0" fontId="30" fillId="0" borderId="8" xfId="4" applyFont="1" applyBorder="1" applyAlignment="1" applyProtection="1">
      <alignment horizontal="center" vertical="center"/>
      <protection locked="0"/>
    </xf>
    <xf numFmtId="0" fontId="30" fillId="0" borderId="0" xfId="4" applyFont="1" applyAlignment="1" applyProtection="1">
      <alignment horizontal="center" vertical="center"/>
      <protection locked="0"/>
    </xf>
    <xf numFmtId="6" fontId="34" fillId="16" borderId="143" xfId="13" applyFont="1" applyFill="1" applyBorder="1" applyAlignment="1" applyProtection="1">
      <alignment horizontal="right" vertical="center" shrinkToFit="1"/>
      <protection locked="0"/>
    </xf>
    <xf numFmtId="0" fontId="59" fillId="0" borderId="289" xfId="4" applyFont="1" applyBorder="1" applyAlignment="1" applyProtection="1">
      <alignment horizontal="center" vertical="center" shrinkToFit="1"/>
      <protection locked="0"/>
    </xf>
    <xf numFmtId="0" fontId="59" fillId="0" borderId="273" xfId="4" applyFont="1" applyBorder="1" applyAlignment="1" applyProtection="1">
      <alignment horizontal="center" vertical="center" shrinkToFit="1"/>
      <protection locked="0"/>
    </xf>
    <xf numFmtId="0" fontId="59" fillId="0" borderId="275" xfId="4" applyFont="1" applyBorder="1" applyAlignment="1" applyProtection="1">
      <alignment horizontal="center" vertical="center" shrinkToFit="1"/>
      <protection locked="0"/>
    </xf>
    <xf numFmtId="0" fontId="29" fillId="0" borderId="6" xfId="4" applyFont="1" applyBorder="1" applyProtection="1">
      <alignment vertical="center"/>
      <protection locked="0"/>
    </xf>
    <xf numFmtId="0" fontId="29" fillId="0" borderId="272" xfId="4" applyFont="1" applyBorder="1" applyAlignment="1" applyProtection="1">
      <alignment horizontal="center" vertical="center"/>
      <protection locked="0"/>
    </xf>
    <xf numFmtId="0" fontId="29" fillId="0" borderId="275" xfId="4" applyFont="1" applyBorder="1" applyAlignment="1" applyProtection="1">
      <alignment horizontal="center" vertical="center"/>
      <protection locked="0"/>
    </xf>
    <xf numFmtId="0" fontId="29" fillId="0" borderId="8" xfId="4" applyFont="1" applyBorder="1" applyAlignment="1" applyProtection="1">
      <alignment horizontal="center" vertical="center"/>
      <protection locked="0"/>
    </xf>
    <xf numFmtId="0" fontId="29" fillId="0" borderId="38" xfId="4" applyFont="1" applyBorder="1" applyAlignment="1" applyProtection="1">
      <alignment horizontal="center" vertical="center"/>
      <protection locked="0"/>
    </xf>
    <xf numFmtId="0" fontId="29" fillId="0" borderId="5" xfId="4" applyFont="1" applyBorder="1" applyAlignment="1" applyProtection="1">
      <alignment horizontal="center" vertical="center"/>
      <protection locked="0"/>
    </xf>
    <xf numFmtId="0" fontId="29" fillId="0" borderId="54" xfId="4" applyFont="1" applyBorder="1" applyAlignment="1" applyProtection="1">
      <alignment horizontal="center" vertical="center"/>
      <protection locked="0"/>
    </xf>
    <xf numFmtId="0" fontId="34" fillId="8" borderId="282" xfId="4" applyFont="1" applyFill="1" applyBorder="1" applyAlignment="1">
      <alignment horizontal="center" vertical="center" shrinkToFit="1"/>
    </xf>
    <xf numFmtId="0" fontId="34" fillId="8" borderId="273" xfId="4" applyFont="1" applyFill="1" applyBorder="1" applyAlignment="1">
      <alignment horizontal="center" vertical="center" shrinkToFit="1"/>
    </xf>
    <xf numFmtId="0" fontId="34" fillId="8" borderId="275" xfId="4" applyFont="1" applyFill="1" applyBorder="1" applyAlignment="1">
      <alignment horizontal="center" vertical="center" shrinkToFit="1"/>
    </xf>
    <xf numFmtId="0" fontId="29" fillId="8" borderId="289" xfId="4" applyFont="1" applyFill="1" applyBorder="1" applyAlignment="1" applyProtection="1">
      <alignment horizontal="center" vertical="center" shrinkToFit="1"/>
      <protection locked="0"/>
    </xf>
    <xf numFmtId="0" fontId="29" fillId="8" borderId="273" xfId="4" applyFont="1" applyFill="1" applyBorder="1" applyAlignment="1" applyProtection="1">
      <alignment horizontal="center" vertical="center" shrinkToFit="1"/>
      <protection locked="0"/>
    </xf>
    <xf numFmtId="0" fontId="29" fillId="8" borderId="275" xfId="4" applyFont="1" applyFill="1" applyBorder="1" applyAlignment="1" applyProtection="1">
      <alignment horizontal="center" vertical="center" shrinkToFit="1"/>
      <protection locked="0"/>
    </xf>
    <xf numFmtId="0" fontId="29" fillId="8" borderId="276" xfId="4" applyFont="1" applyFill="1" applyBorder="1" applyProtection="1">
      <alignment vertical="center"/>
      <protection locked="0"/>
    </xf>
    <xf numFmtId="6" fontId="34" fillId="16" borderId="141" xfId="13" applyFont="1" applyFill="1" applyBorder="1" applyAlignment="1" applyProtection="1">
      <alignment horizontal="right" vertical="center" shrinkToFit="1"/>
      <protection locked="0"/>
    </xf>
    <xf numFmtId="0" fontId="29" fillId="8" borderId="19" xfId="4" applyFont="1" applyFill="1" applyBorder="1" applyAlignment="1" applyProtection="1">
      <alignment horizontal="center" vertical="center" shrinkToFit="1"/>
      <protection locked="0"/>
    </xf>
    <xf numFmtId="0" fontId="29" fillId="8" borderId="20" xfId="4" applyFont="1" applyFill="1" applyBorder="1" applyAlignment="1" applyProtection="1">
      <alignment horizontal="center" vertical="center" shrinkToFit="1"/>
      <protection locked="0"/>
    </xf>
    <xf numFmtId="0" fontId="29" fillId="8" borderId="21" xfId="4" applyFont="1" applyFill="1" applyBorder="1" applyAlignment="1" applyProtection="1">
      <alignment horizontal="center" vertical="center" shrinkToFit="1"/>
      <protection locked="0"/>
    </xf>
    <xf numFmtId="0" fontId="29" fillId="8" borderId="143" xfId="4" applyFont="1" applyFill="1" applyBorder="1" applyProtection="1">
      <alignment vertical="center"/>
      <protection locked="0"/>
    </xf>
    <xf numFmtId="6" fontId="29" fillId="0" borderId="22" xfId="5" applyFont="1" applyBorder="1" applyAlignment="1" applyProtection="1">
      <alignment horizontal="right" vertical="center" shrinkToFit="1"/>
    </xf>
    <xf numFmtId="6" fontId="29" fillId="0" borderId="20" xfId="5" applyFont="1" applyBorder="1" applyAlignment="1" applyProtection="1">
      <alignment horizontal="right" vertical="center" shrinkToFit="1"/>
    </xf>
    <xf numFmtId="0" fontId="29" fillId="8" borderId="264" xfId="4" applyFont="1" applyFill="1" applyBorder="1" applyProtection="1">
      <alignment vertical="center"/>
      <protection locked="0"/>
    </xf>
    <xf numFmtId="6" fontId="29" fillId="0" borderId="20" xfId="5" applyFont="1" applyBorder="1" applyAlignment="1" applyProtection="1">
      <alignment horizontal="left" vertical="center" shrinkToFit="1"/>
      <protection locked="0"/>
    </xf>
    <xf numFmtId="6" fontId="29" fillId="0" borderId="116" xfId="5" applyFont="1" applyBorder="1" applyAlignment="1" applyProtection="1">
      <alignment horizontal="left" vertical="center" shrinkToFit="1"/>
      <protection locked="0"/>
    </xf>
    <xf numFmtId="0" fontId="34" fillId="2" borderId="317" xfId="4" applyFont="1" applyFill="1" applyBorder="1" applyAlignment="1">
      <alignment horizontal="center" vertical="center" shrinkToFit="1"/>
    </xf>
    <xf numFmtId="0" fontId="34" fillId="2" borderId="318" xfId="4" applyFont="1" applyFill="1" applyBorder="1" applyAlignment="1">
      <alignment horizontal="center" vertical="center" shrinkToFit="1"/>
    </xf>
    <xf numFmtId="0" fontId="34" fillId="2" borderId="290" xfId="4" applyFont="1" applyFill="1" applyBorder="1" applyAlignment="1">
      <alignment horizontal="center" vertical="center" shrinkToFit="1"/>
    </xf>
    <xf numFmtId="0" fontId="34" fillId="2" borderId="269" xfId="4" applyFont="1" applyFill="1" applyBorder="1" applyAlignment="1">
      <alignment horizontal="center" vertical="center" shrinkToFit="1"/>
    </xf>
    <xf numFmtId="0" fontId="29" fillId="0" borderId="276" xfId="4" applyFont="1" applyBorder="1" applyProtection="1">
      <alignment vertical="center"/>
      <protection locked="0"/>
    </xf>
    <xf numFmtId="0" fontId="59" fillId="0" borderId="272" xfId="4" applyFont="1" applyBorder="1" applyAlignment="1" applyProtection="1">
      <alignment horizontal="center" vertical="center"/>
      <protection locked="0"/>
    </xf>
    <xf numFmtId="0" fontId="59" fillId="0" borderId="275" xfId="4" applyFont="1" applyBorder="1" applyAlignment="1" applyProtection="1">
      <alignment horizontal="center" vertical="center"/>
      <protection locked="0"/>
    </xf>
    <xf numFmtId="0" fontId="29" fillId="8" borderId="279" xfId="4" applyFont="1" applyFill="1" applyBorder="1" applyAlignment="1" applyProtection="1">
      <alignment horizontal="center" vertical="center" shrinkToFit="1"/>
      <protection locked="0"/>
    </xf>
    <xf numFmtId="0" fontId="59" fillId="0" borderId="105" xfId="4" applyFont="1" applyBorder="1" applyAlignment="1" applyProtection="1">
      <alignment horizontal="center" vertical="center" shrinkToFit="1"/>
      <protection locked="0"/>
    </xf>
    <xf numFmtId="0" fontId="59" fillId="0" borderId="73" xfId="4" applyFont="1" applyBorder="1" applyAlignment="1" applyProtection="1">
      <alignment horizontal="center" vertical="center" shrinkToFit="1"/>
      <protection locked="0"/>
    </xf>
    <xf numFmtId="0" fontId="59" fillId="0" borderId="74" xfId="4" applyFont="1" applyBorder="1" applyAlignment="1" applyProtection="1">
      <alignment horizontal="center" vertical="center" shrinkToFit="1"/>
      <protection locked="0"/>
    </xf>
    <xf numFmtId="0" fontId="29" fillId="0" borderId="143" xfId="4" applyFont="1" applyBorder="1" applyProtection="1">
      <alignment vertical="center"/>
      <protection locked="0"/>
    </xf>
    <xf numFmtId="0" fontId="29" fillId="0" borderId="321" xfId="4" applyFont="1" applyBorder="1" applyAlignment="1" applyProtection="1">
      <alignment horizontal="center" vertical="center" shrinkToFit="1"/>
      <protection locked="0"/>
    </xf>
    <xf numFmtId="0" fontId="29" fillId="0" borderId="153" xfId="4" applyFont="1" applyBorder="1" applyAlignment="1" applyProtection="1">
      <alignment horizontal="center" vertical="center" shrinkToFit="1"/>
      <protection locked="0"/>
    </xf>
    <xf numFmtId="0" fontId="29" fillId="0" borderId="154" xfId="4" applyFont="1" applyBorder="1" applyAlignment="1" applyProtection="1">
      <alignment horizontal="center" vertical="center" shrinkToFit="1"/>
      <protection locked="0"/>
    </xf>
    <xf numFmtId="6" fontId="34" fillId="16" borderId="10" xfId="13" applyFont="1" applyFill="1" applyBorder="1" applyAlignment="1" applyProtection="1">
      <alignment horizontal="right" vertical="center" shrinkToFit="1"/>
      <protection locked="0"/>
    </xf>
    <xf numFmtId="6" fontId="34" fillId="16" borderId="272" xfId="13" applyFont="1" applyFill="1" applyBorder="1" applyAlignment="1" applyProtection="1">
      <alignment horizontal="right" vertical="center" shrinkToFit="1"/>
      <protection locked="0"/>
    </xf>
    <xf numFmtId="6" fontId="34" fillId="16" borderId="273" xfId="13" applyFont="1" applyFill="1" applyBorder="1" applyAlignment="1" applyProtection="1">
      <alignment horizontal="right" vertical="center" shrinkToFit="1"/>
      <protection locked="0"/>
    </xf>
    <xf numFmtId="6" fontId="34" fillId="16" borderId="275" xfId="13" applyFont="1" applyFill="1" applyBorder="1" applyAlignment="1" applyProtection="1">
      <alignment horizontal="right" vertical="center" shrinkToFit="1"/>
      <protection locked="0"/>
    </xf>
    <xf numFmtId="6" fontId="34" fillId="16" borderId="8" xfId="13" applyFont="1" applyFill="1" applyBorder="1" applyAlignment="1" applyProtection="1">
      <alignment horizontal="right" vertical="center" shrinkToFit="1"/>
      <protection locked="0"/>
    </xf>
    <xf numFmtId="6" fontId="34" fillId="16" borderId="0" xfId="13" applyFont="1" applyFill="1" applyBorder="1" applyAlignment="1" applyProtection="1">
      <alignment horizontal="right" vertical="center" shrinkToFit="1"/>
      <protection locked="0"/>
    </xf>
    <xf numFmtId="6" fontId="34" fillId="16" borderId="38" xfId="13" applyFont="1" applyFill="1" applyBorder="1" applyAlignment="1" applyProtection="1">
      <alignment horizontal="right" vertical="center" shrinkToFit="1"/>
      <protection locked="0"/>
    </xf>
    <xf numFmtId="6" fontId="5" fillId="0" borderId="276" xfId="4" applyNumberFormat="1" applyFont="1" applyBorder="1" applyAlignment="1" applyProtection="1">
      <alignment vertical="center" shrinkToFit="1"/>
      <protection hidden="1"/>
    </xf>
    <xf numFmtId="6" fontId="5" fillId="0" borderId="10" xfId="4" applyNumberFormat="1" applyFont="1" applyBorder="1" applyAlignment="1" applyProtection="1">
      <alignment vertical="center" shrinkToFit="1"/>
      <protection hidden="1"/>
    </xf>
    <xf numFmtId="6" fontId="5" fillId="0" borderId="11" xfId="4" applyNumberFormat="1" applyFont="1" applyBorder="1" applyAlignment="1" applyProtection="1">
      <alignment vertical="center" shrinkToFit="1"/>
      <protection hidden="1"/>
    </xf>
    <xf numFmtId="0" fontId="29" fillId="0" borderId="279" xfId="4" applyFont="1" applyBorder="1" applyAlignment="1">
      <alignment horizontal="center" vertical="center" shrinkToFit="1"/>
    </xf>
    <xf numFmtId="0" fontId="29" fillId="0" borderId="273" xfId="4" applyFont="1" applyBorder="1" applyAlignment="1">
      <alignment horizontal="center" vertical="center" shrinkToFit="1"/>
    </xf>
    <xf numFmtId="0" fontId="29" fillId="0" borderId="275" xfId="4" applyFont="1" applyBorder="1" applyAlignment="1">
      <alignment horizontal="center" vertical="center" shrinkToFit="1"/>
    </xf>
    <xf numFmtId="10" fontId="52" fillId="0" borderId="73" xfId="6" applyNumberFormat="1" applyFont="1" applyFill="1" applyBorder="1" applyAlignment="1" applyProtection="1">
      <alignment horizontal="center" vertical="center" shrinkToFit="1"/>
    </xf>
    <xf numFmtId="10" fontId="52" fillId="0" borderId="110" xfId="6" applyNumberFormat="1" applyFont="1" applyFill="1" applyBorder="1" applyAlignment="1" applyProtection="1">
      <alignment horizontal="center" vertical="center" shrinkToFit="1"/>
    </xf>
    <xf numFmtId="6" fontId="5" fillId="0" borderId="276" xfId="4" applyNumberFormat="1" applyFont="1" applyBorder="1" applyAlignment="1" applyProtection="1">
      <alignment horizontal="right" vertical="center" shrinkToFit="1"/>
      <protection hidden="1"/>
    </xf>
    <xf numFmtId="6" fontId="5" fillId="0" borderId="10" xfId="4" applyNumberFormat="1" applyFont="1" applyBorder="1" applyAlignment="1" applyProtection="1">
      <alignment horizontal="right" vertical="center" shrinkToFit="1"/>
      <protection hidden="1"/>
    </xf>
    <xf numFmtId="6" fontId="5" fillId="0" borderId="11" xfId="4" applyNumberFormat="1" applyFont="1" applyBorder="1" applyAlignment="1" applyProtection="1">
      <alignment horizontal="right" vertical="center" shrinkToFit="1"/>
      <protection hidden="1"/>
    </xf>
    <xf numFmtId="6" fontId="29" fillId="0" borderId="319" xfId="5" applyFont="1" applyBorder="1" applyAlignment="1" applyProtection="1">
      <alignment horizontal="left" vertical="center" shrinkToFit="1"/>
    </xf>
    <xf numFmtId="6" fontId="29" fillId="0" borderId="320" xfId="5" applyFont="1" applyBorder="1" applyAlignment="1" applyProtection="1">
      <alignment horizontal="left" vertical="center" shrinkToFit="1"/>
    </xf>
    <xf numFmtId="0" fontId="29" fillId="0" borderId="319" xfId="4" applyFont="1" applyBorder="1">
      <alignment vertical="center"/>
    </xf>
    <xf numFmtId="0" fontId="59" fillId="0" borderId="75" xfId="4" applyFont="1" applyBorder="1" applyAlignment="1" applyProtection="1">
      <alignment horizontal="center" vertical="center"/>
      <protection locked="0"/>
    </xf>
    <xf numFmtId="0" fontId="59" fillId="0" borderId="74" xfId="4" applyFont="1" applyBorder="1" applyAlignment="1" applyProtection="1">
      <alignment horizontal="center" vertical="center"/>
      <protection locked="0"/>
    </xf>
    <xf numFmtId="6" fontId="29" fillId="0" borderId="274" xfId="5" applyFont="1" applyBorder="1" applyAlignment="1" applyProtection="1">
      <alignment horizontal="left" vertical="center" shrinkToFit="1"/>
    </xf>
    <xf numFmtId="0" fontId="59" fillId="8" borderId="269" xfId="4" applyFont="1" applyFill="1" applyBorder="1" applyAlignment="1" applyProtection="1">
      <alignment horizontal="center" vertical="center"/>
      <protection locked="0"/>
    </xf>
    <xf numFmtId="0" fontId="59" fillId="8" borderId="271" xfId="4" applyFont="1" applyFill="1" applyBorder="1" applyAlignment="1" applyProtection="1">
      <alignment horizontal="center" vertical="center"/>
      <protection locked="0"/>
    </xf>
    <xf numFmtId="0" fontId="30" fillId="19" borderId="70" xfId="4" applyFont="1" applyFill="1" applyBorder="1" applyAlignment="1">
      <alignment horizontal="center" vertical="center" wrapText="1" shrinkToFit="1"/>
    </xf>
    <xf numFmtId="0" fontId="30" fillId="19" borderId="71" xfId="4" applyFont="1" applyFill="1" applyBorder="1" applyAlignment="1">
      <alignment horizontal="center" vertical="center" wrapText="1" shrinkToFit="1"/>
    </xf>
    <xf numFmtId="0" fontId="30" fillId="19" borderId="114" xfId="4" applyFont="1" applyFill="1" applyBorder="1" applyAlignment="1">
      <alignment horizontal="center" vertical="center" wrapText="1" shrinkToFit="1"/>
    </xf>
    <xf numFmtId="0" fontId="30" fillId="19" borderId="5" xfId="4" applyFont="1" applyFill="1" applyBorder="1" applyAlignment="1">
      <alignment horizontal="center" vertical="center" wrapText="1" shrinkToFit="1"/>
    </xf>
    <xf numFmtId="0" fontId="30" fillId="19" borderId="36" xfId="4" applyFont="1" applyFill="1" applyBorder="1" applyAlignment="1">
      <alignment horizontal="center" vertical="center" wrapText="1" shrinkToFit="1"/>
    </xf>
    <xf numFmtId="0" fontId="30" fillId="19" borderId="54" xfId="4" applyFont="1" applyFill="1" applyBorder="1" applyAlignment="1">
      <alignment horizontal="center" vertical="center" wrapText="1" shrinkToFit="1"/>
    </xf>
    <xf numFmtId="0" fontId="29" fillId="19" borderId="71" xfId="4" applyFont="1" applyFill="1" applyBorder="1" applyAlignment="1">
      <alignment horizontal="center" vertical="center" wrapText="1"/>
    </xf>
    <xf numFmtId="0" fontId="29" fillId="19" borderId="114" xfId="4" applyFont="1" applyFill="1" applyBorder="1" applyAlignment="1">
      <alignment horizontal="center" vertical="center" wrapText="1"/>
    </xf>
    <xf numFmtId="0" fontId="29" fillId="19" borderId="36" xfId="4" applyFont="1" applyFill="1" applyBorder="1" applyAlignment="1">
      <alignment horizontal="center" vertical="center" wrapText="1"/>
    </xf>
    <xf numFmtId="0" fontId="29" fillId="19" borderId="54" xfId="4" applyFont="1" applyFill="1" applyBorder="1" applyAlignment="1">
      <alignment horizontal="center" vertical="center" wrapText="1"/>
    </xf>
    <xf numFmtId="6" fontId="34" fillId="8" borderId="269" xfId="13" applyFont="1" applyFill="1" applyBorder="1" applyAlignment="1" applyProtection="1">
      <alignment horizontal="right" vertical="center" shrinkToFit="1"/>
      <protection locked="0"/>
    </xf>
    <xf numFmtId="6" fontId="34" fillId="8" borderId="270" xfId="13" applyFont="1" applyFill="1" applyBorder="1" applyAlignment="1" applyProtection="1">
      <alignment horizontal="right" vertical="center" shrinkToFit="1"/>
      <protection locked="0"/>
    </xf>
    <xf numFmtId="6" fontId="34" fillId="8" borderId="271" xfId="13" applyFont="1" applyFill="1" applyBorder="1" applyAlignment="1" applyProtection="1">
      <alignment horizontal="right" vertical="center" shrinkToFit="1"/>
      <protection locked="0"/>
    </xf>
    <xf numFmtId="0" fontId="30" fillId="0" borderId="36" xfId="5" applyNumberFormat="1" applyFont="1" applyBorder="1" applyAlignment="1" applyProtection="1">
      <alignment horizontal="left" vertical="center" shrinkToFit="1"/>
    </xf>
    <xf numFmtId="0" fontId="29" fillId="0" borderId="141" xfId="4" applyFont="1" applyBorder="1" applyProtection="1">
      <alignment vertical="center"/>
      <protection locked="0"/>
    </xf>
    <xf numFmtId="0" fontId="29" fillId="0" borderId="20" xfId="5" applyNumberFormat="1" applyFont="1" applyBorder="1" applyAlignment="1" applyProtection="1">
      <alignment horizontal="left" vertical="center"/>
      <protection locked="0"/>
    </xf>
    <xf numFmtId="0" fontId="29" fillId="0" borderId="153" xfId="5" applyNumberFormat="1" applyFont="1" applyBorder="1" applyAlignment="1" applyProtection="1">
      <alignment horizontal="left" vertical="center"/>
      <protection locked="0"/>
    </xf>
    <xf numFmtId="10" fontId="31" fillId="0" borderId="75" xfId="6" applyNumberFormat="1" applyFont="1" applyFill="1" applyBorder="1" applyAlignment="1" applyProtection="1">
      <alignment horizontal="center" vertical="center" shrinkToFit="1"/>
    </xf>
    <xf numFmtId="10" fontId="31" fillId="0" borderId="73" xfId="6" applyNumberFormat="1" applyFont="1" applyFill="1" applyBorder="1" applyAlignment="1" applyProtection="1">
      <alignment horizontal="center" vertical="center" shrinkToFit="1"/>
    </xf>
    <xf numFmtId="0" fontId="29" fillId="0" borderId="22" xfId="5" applyNumberFormat="1" applyFont="1" applyBorder="1" applyAlignment="1" applyProtection="1">
      <alignment horizontal="right" vertical="center" shrinkToFit="1"/>
    </xf>
    <xf numFmtId="0" fontId="29" fillId="0" borderId="20" xfId="5" applyNumberFormat="1" applyFont="1" applyBorder="1" applyAlignment="1" applyProtection="1">
      <alignment horizontal="right" vertical="center" shrinkToFit="1"/>
    </xf>
    <xf numFmtId="0" fontId="29" fillId="0" borderId="322" xfId="5" applyNumberFormat="1" applyFont="1" applyBorder="1" applyAlignment="1" applyProtection="1">
      <alignment horizontal="left" vertical="center"/>
      <protection locked="0"/>
    </xf>
    <xf numFmtId="10" fontId="34" fillId="0" borderId="141" xfId="5" applyNumberFormat="1" applyFont="1" applyBorder="1" applyAlignment="1" applyProtection="1">
      <alignment horizontal="right" vertical="center" shrinkToFit="1"/>
      <protection locked="0"/>
    </xf>
    <xf numFmtId="0" fontId="29" fillId="0" borderId="153" xfId="5" applyNumberFormat="1" applyFont="1" applyBorder="1" applyAlignment="1" applyProtection="1">
      <alignment horizontal="right" vertical="center"/>
    </xf>
    <xf numFmtId="0" fontId="29" fillId="0" borderId="152" xfId="5" applyNumberFormat="1" applyFont="1" applyBorder="1" applyAlignment="1" applyProtection="1">
      <alignment horizontal="right" vertical="center" shrinkToFit="1"/>
    </xf>
    <xf numFmtId="0" fontId="29" fillId="0" borderId="153" xfId="5" applyNumberFormat="1" applyFont="1" applyBorder="1" applyAlignment="1" applyProtection="1">
      <alignment horizontal="right" vertical="center" shrinkToFit="1"/>
    </xf>
    <xf numFmtId="0" fontId="30" fillId="0" borderId="248" xfId="4" applyFont="1" applyBorder="1" applyAlignment="1" applyProtection="1">
      <alignment horizontal="left" vertical="center" indent="1"/>
      <protection locked="0"/>
    </xf>
    <xf numFmtId="0" fontId="30" fillId="0" borderId="153" xfId="4" applyFont="1" applyBorder="1" applyAlignment="1" applyProtection="1">
      <alignment horizontal="left" vertical="center" indent="1"/>
      <protection locked="0"/>
    </xf>
    <xf numFmtId="0" fontId="30" fillId="0" borderId="154" xfId="4" applyFont="1" applyBorder="1" applyAlignment="1" applyProtection="1">
      <alignment horizontal="left" vertical="center" indent="1"/>
      <protection locked="0"/>
    </xf>
    <xf numFmtId="0" fontId="29" fillId="8" borderId="273" xfId="6" applyNumberFormat="1" applyFont="1" applyFill="1" applyBorder="1" applyAlignment="1" applyProtection="1">
      <alignment horizontal="right" vertical="center" shrinkToFit="1"/>
    </xf>
    <xf numFmtId="6" fontId="29" fillId="0" borderId="20" xfId="5" applyFont="1" applyBorder="1" applyAlignment="1" applyProtection="1">
      <alignment horizontal="left" vertical="center" shrinkToFit="1"/>
    </xf>
    <xf numFmtId="0" fontId="29" fillId="8" borderId="273" xfId="6" applyNumberFormat="1" applyFont="1" applyFill="1" applyBorder="1" applyAlignment="1" applyProtection="1">
      <alignment horizontal="left" vertical="center" shrinkToFit="1"/>
      <protection locked="0"/>
    </xf>
    <xf numFmtId="0" fontId="29" fillId="8" borderId="283" xfId="6" applyNumberFormat="1" applyFont="1" applyFill="1" applyBorder="1" applyAlignment="1" applyProtection="1">
      <alignment horizontal="left" vertical="center" shrinkToFit="1"/>
      <protection locked="0"/>
    </xf>
    <xf numFmtId="6" fontId="29" fillId="8" borderId="272" xfId="5" applyFont="1" applyFill="1" applyBorder="1" applyAlignment="1" applyProtection="1">
      <alignment horizontal="right" vertical="center" shrinkToFit="1"/>
    </xf>
    <xf numFmtId="6" fontId="29" fillId="8" borderId="273" xfId="5" applyFont="1" applyFill="1" applyBorder="1" applyAlignment="1" applyProtection="1">
      <alignment horizontal="right" vertical="center" shrinkToFit="1"/>
    </xf>
    <xf numFmtId="6" fontId="29" fillId="8" borderId="273" xfId="5" applyFont="1" applyFill="1" applyBorder="1" applyAlignment="1" applyProtection="1">
      <alignment horizontal="left" vertical="center" shrinkToFit="1"/>
    </xf>
    <xf numFmtId="0" fontId="30" fillId="0" borderId="6" xfId="4" applyFont="1" applyBorder="1" applyAlignment="1">
      <alignment horizontal="center" vertical="center" shrinkToFit="1"/>
    </xf>
    <xf numFmtId="0" fontId="30" fillId="0" borderId="125" xfId="4" applyFont="1" applyBorder="1" applyAlignment="1">
      <alignment horizontal="center" vertical="center" shrinkToFit="1"/>
    </xf>
    <xf numFmtId="0" fontId="30" fillId="23" borderId="122" xfId="4" applyFont="1" applyFill="1" applyBorder="1" applyAlignment="1">
      <alignment horizontal="center" vertical="center" shrinkToFit="1"/>
    </xf>
    <xf numFmtId="0" fontId="53" fillId="0" borderId="144" xfId="4" applyFont="1" applyBorder="1" applyAlignment="1">
      <alignment horizontal="center" vertical="center" shrinkToFit="1"/>
    </xf>
    <xf numFmtId="0" fontId="53" fillId="0" borderId="145" xfId="4" applyFont="1" applyBorder="1" applyAlignment="1">
      <alignment horizontal="center" vertical="center" shrinkToFit="1"/>
    </xf>
    <xf numFmtId="0" fontId="34" fillId="19" borderId="8" xfId="4" applyFont="1" applyFill="1" applyBorder="1" applyAlignment="1">
      <alignment horizontal="center" vertical="center" shrinkToFit="1"/>
    </xf>
    <xf numFmtId="0" fontId="34" fillId="19" borderId="88" xfId="4" applyFont="1" applyFill="1" applyBorder="1" applyAlignment="1">
      <alignment horizontal="center" vertical="center" shrinkToFit="1"/>
    </xf>
    <xf numFmtId="0" fontId="30" fillId="0" borderId="0" xfId="6" applyNumberFormat="1" applyFont="1" applyBorder="1" applyAlignment="1" applyProtection="1">
      <alignment horizontal="left" vertical="center" shrinkToFit="1"/>
      <protection locked="0"/>
    </xf>
    <xf numFmtId="0" fontId="30" fillId="0" borderId="34" xfId="6" applyNumberFormat="1" applyFont="1" applyBorder="1" applyAlignment="1" applyProtection="1">
      <alignment horizontal="left" vertical="center" shrinkToFit="1"/>
      <protection locked="0"/>
    </xf>
    <xf numFmtId="0" fontId="34" fillId="0" borderId="192" xfId="4" applyFont="1" applyBorder="1" applyAlignment="1" applyProtection="1">
      <alignment horizontal="left" vertical="center" indent="1" shrinkToFit="1"/>
      <protection locked="0"/>
    </xf>
    <xf numFmtId="0" fontId="34" fillId="0" borderId="200" xfId="4" applyFont="1" applyBorder="1" applyAlignment="1" applyProtection="1">
      <alignment horizontal="left" vertical="center" indent="1" shrinkToFit="1"/>
      <protection locked="0"/>
    </xf>
    <xf numFmtId="0" fontId="34" fillId="0" borderId="270" xfId="4" applyFont="1" applyBorder="1" applyAlignment="1" applyProtection="1">
      <alignment horizontal="left" vertical="center" indent="1" shrinkToFit="1"/>
      <protection locked="0"/>
    </xf>
    <xf numFmtId="0" fontId="34" fillId="0" borderId="270" xfId="6" applyNumberFormat="1" applyFont="1" applyBorder="1" applyAlignment="1" applyProtection="1">
      <alignment horizontal="right" vertical="center" shrinkToFit="1"/>
    </xf>
    <xf numFmtId="0" fontId="34" fillId="0" borderId="270" xfId="4" applyFont="1" applyBorder="1" applyAlignment="1">
      <alignment horizontal="left" vertical="center" indent="1"/>
    </xf>
    <xf numFmtId="0" fontId="131" fillId="0" borderId="270" xfId="6" applyNumberFormat="1" applyFont="1" applyBorder="1" applyAlignment="1" applyProtection="1">
      <alignment horizontal="right" vertical="center" shrinkToFit="1"/>
    </xf>
    <xf numFmtId="6" fontId="34" fillId="16" borderId="5" xfId="13" applyFont="1" applyFill="1" applyBorder="1" applyAlignment="1" applyProtection="1">
      <alignment horizontal="right" vertical="center" shrinkToFit="1"/>
      <protection locked="0"/>
    </xf>
    <xf numFmtId="6" fontId="34" fillId="16" borderId="36" xfId="13" applyFont="1" applyFill="1" applyBorder="1" applyAlignment="1" applyProtection="1">
      <alignment horizontal="right" vertical="center" shrinkToFit="1"/>
      <protection locked="0"/>
    </xf>
    <xf numFmtId="6" fontId="34" fillId="16" borderId="54" xfId="13" applyFont="1" applyFill="1" applyBorder="1" applyAlignment="1" applyProtection="1">
      <alignment horizontal="right" vertical="center" shrinkToFit="1"/>
      <protection locked="0"/>
    </xf>
    <xf numFmtId="10" fontId="34" fillId="8" borderId="10" xfId="5" applyNumberFormat="1" applyFont="1" applyFill="1" applyBorder="1" applyAlignment="1" applyProtection="1">
      <alignment horizontal="right" vertical="center" shrinkToFit="1"/>
      <protection locked="0"/>
    </xf>
    <xf numFmtId="0" fontId="29" fillId="0" borderId="310" xfId="4" applyFont="1" applyBorder="1" applyAlignment="1">
      <alignment horizontal="left" vertical="center" shrinkToFit="1"/>
    </xf>
    <xf numFmtId="0" fontId="29" fillId="0" borderId="270" xfId="4" applyFont="1" applyBorder="1" applyAlignment="1">
      <alignment horizontal="left" vertical="center" shrinkToFit="1"/>
    </xf>
    <xf numFmtId="0" fontId="29" fillId="0" borderId="202" xfId="4" applyFont="1" applyBorder="1" applyAlignment="1">
      <alignment horizontal="left" vertical="center" shrinkToFit="1"/>
    </xf>
    <xf numFmtId="6" fontId="30" fillId="0" borderId="248" xfId="5" applyFont="1" applyBorder="1" applyAlignment="1" applyProtection="1">
      <alignment horizontal="left" vertical="center" shrinkToFit="1"/>
      <protection locked="0"/>
    </xf>
    <xf numFmtId="6" fontId="30" fillId="0" borderId="153" xfId="5" applyFont="1" applyBorder="1" applyAlignment="1" applyProtection="1">
      <alignment horizontal="left" vertical="center" shrinkToFit="1"/>
      <protection locked="0"/>
    </xf>
    <xf numFmtId="0" fontId="52" fillId="0" borderId="284" xfId="0" applyFont="1" applyBorder="1" applyAlignment="1">
      <alignment horizontal="left" vertical="center" shrinkToFit="1"/>
    </xf>
    <xf numFmtId="0" fontId="29" fillId="0" borderId="22" xfId="4" applyFont="1" applyBorder="1" applyProtection="1">
      <alignment vertical="center"/>
      <protection locked="0"/>
    </xf>
    <xf numFmtId="0" fontId="29" fillId="0" borderId="21" xfId="4" applyFont="1" applyBorder="1" applyProtection="1">
      <alignment vertical="center"/>
      <protection locked="0"/>
    </xf>
    <xf numFmtId="0" fontId="29" fillId="0" borderId="0" xfId="4" applyFont="1" applyAlignment="1" applyProtection="1">
      <alignment horizontal="center" vertical="center" shrinkToFit="1"/>
      <protection locked="0"/>
    </xf>
    <xf numFmtId="0" fontId="29" fillId="0" borderId="38" xfId="4" applyFont="1" applyBorder="1" applyAlignment="1" applyProtection="1">
      <alignment horizontal="center" vertical="center" shrinkToFit="1"/>
      <protection locked="0"/>
    </xf>
    <xf numFmtId="0" fontId="43" fillId="0" borderId="211" xfId="4" applyFont="1" applyBorder="1" applyAlignment="1" applyProtection="1">
      <alignment horizontal="left" vertical="center"/>
      <protection locked="0"/>
    </xf>
    <xf numFmtId="0" fontId="43" fillId="0" borderId="151" xfId="4" applyFont="1" applyBorder="1" applyAlignment="1" applyProtection="1">
      <alignment horizontal="left" vertical="center"/>
      <protection locked="0"/>
    </xf>
    <xf numFmtId="0" fontId="30" fillId="0" borderId="99" xfId="4" applyFont="1" applyBorder="1" applyAlignment="1">
      <alignment horizontal="left" vertical="center"/>
    </xf>
    <xf numFmtId="0" fontId="30" fillId="0" borderId="269" xfId="4" applyFont="1" applyBorder="1" applyAlignment="1">
      <alignment horizontal="left" vertical="center" shrinkToFit="1"/>
    </xf>
    <xf numFmtId="0" fontId="30" fillId="0" borderId="270" xfId="4" applyFont="1" applyBorder="1" applyAlignment="1">
      <alignment horizontal="left" vertical="center" shrinkToFit="1"/>
    </xf>
    <xf numFmtId="0" fontId="30" fillId="0" borderId="271" xfId="4" applyFont="1" applyBorder="1" applyAlignment="1">
      <alignment horizontal="left" vertical="center" shrinkToFit="1"/>
    </xf>
    <xf numFmtId="0" fontId="34" fillId="0" borderId="2" xfId="4" applyFont="1" applyBorder="1" applyAlignment="1" applyProtection="1">
      <alignment horizontal="left" vertical="center" indent="1"/>
      <protection locked="0"/>
    </xf>
    <xf numFmtId="0" fontId="34" fillId="0" borderId="6" xfId="4" applyFont="1" applyBorder="1" applyAlignment="1" applyProtection="1">
      <alignment horizontal="left" vertical="center" indent="1"/>
      <protection locked="0"/>
    </xf>
    <xf numFmtId="0" fontId="34" fillId="0" borderId="269" xfId="4" applyFont="1" applyBorder="1" applyAlignment="1" applyProtection="1">
      <alignment horizontal="left" vertical="center" indent="1"/>
      <protection locked="0"/>
    </xf>
    <xf numFmtId="0" fontId="34" fillId="0" borderId="2" xfId="4" applyFont="1" applyBorder="1" applyAlignment="1">
      <alignment horizontal="left" vertical="center" indent="1"/>
    </xf>
    <xf numFmtId="0" fontId="34" fillId="0" borderId="6" xfId="4" applyFont="1" applyBorder="1" applyAlignment="1">
      <alignment horizontal="left" vertical="center" indent="1"/>
    </xf>
    <xf numFmtId="0" fontId="34" fillId="0" borderId="269" xfId="4" applyFont="1" applyBorder="1" applyAlignment="1">
      <alignment horizontal="left" vertical="center" wrapText="1" indent="1"/>
    </xf>
    <xf numFmtId="0" fontId="34" fillId="0" borderId="270" xfId="4" applyFont="1" applyBorder="1" applyAlignment="1">
      <alignment horizontal="left" vertical="center" wrapText="1" indent="1"/>
    </xf>
    <xf numFmtId="0" fontId="30" fillId="0" borderId="270" xfId="5" applyNumberFormat="1" applyFont="1" applyBorder="1" applyAlignment="1" applyProtection="1">
      <alignment horizontal="left" vertical="center" shrinkToFit="1"/>
    </xf>
    <xf numFmtId="0" fontId="30" fillId="0" borderId="271" xfId="5" applyNumberFormat="1" applyFont="1" applyBorder="1" applyAlignment="1" applyProtection="1">
      <alignment horizontal="left" vertical="center" shrinkToFit="1"/>
    </xf>
    <xf numFmtId="6" fontId="30" fillId="0" borderId="99" xfId="5" applyFont="1" applyBorder="1" applyAlignment="1" applyProtection="1">
      <alignment horizontal="left" vertical="center" shrinkToFit="1"/>
    </xf>
    <xf numFmtId="6" fontId="30" fillId="0" borderId="270" xfId="5" applyFont="1" applyBorder="1" applyAlignment="1" applyProtection="1">
      <alignment horizontal="left" vertical="center" shrinkToFit="1"/>
    </xf>
    <xf numFmtId="6" fontId="30" fillId="0" borderId="284" xfId="5" applyFont="1" applyBorder="1" applyAlignment="1" applyProtection="1">
      <alignment horizontal="left" vertical="center" shrinkToFit="1"/>
    </xf>
    <xf numFmtId="0" fontId="34" fillId="19" borderId="269" xfId="4" applyFont="1" applyFill="1" applyBorder="1" applyAlignment="1">
      <alignment horizontal="center" vertical="center"/>
    </xf>
    <xf numFmtId="10" fontId="34" fillId="0" borderId="264" xfId="6" applyNumberFormat="1" applyFont="1" applyFill="1" applyBorder="1" applyAlignment="1" applyProtection="1">
      <alignment horizontal="right" vertical="center" shrinkToFit="1"/>
      <protection locked="0" hidden="1"/>
    </xf>
    <xf numFmtId="6" fontId="34" fillId="0" borderId="286" xfId="13" applyFont="1" applyBorder="1" applyAlignment="1" applyProtection="1">
      <alignment horizontal="right" vertical="center" shrinkToFit="1"/>
      <protection locked="0"/>
    </xf>
    <xf numFmtId="0" fontId="36" fillId="0" borderId="5" xfId="4" applyFont="1" applyBorder="1" applyAlignment="1">
      <alignment horizontal="left" vertical="center" shrinkToFit="1"/>
    </xf>
    <xf numFmtId="6" fontId="34" fillId="8" borderId="10" xfId="13" applyFont="1" applyFill="1" applyBorder="1" applyAlignment="1" applyProtection="1">
      <alignment horizontal="right" vertical="center" shrinkToFit="1"/>
      <protection locked="0"/>
    </xf>
    <xf numFmtId="6" fontId="34" fillId="0" borderId="141" xfId="13" applyFont="1" applyBorder="1" applyAlignment="1" applyProtection="1">
      <alignment horizontal="right" vertical="center" shrinkToFit="1"/>
      <protection locked="0"/>
    </xf>
    <xf numFmtId="0" fontId="29" fillId="0" borderId="20" xfId="5" applyNumberFormat="1" applyFont="1" applyBorder="1" applyAlignment="1" applyProtection="1">
      <alignment horizontal="right" vertical="center"/>
    </xf>
    <xf numFmtId="0" fontId="29" fillId="0" borderId="116" xfId="5" applyNumberFormat="1" applyFont="1" applyBorder="1" applyAlignment="1" applyProtection="1">
      <alignment horizontal="left" vertical="center"/>
      <protection locked="0"/>
    </xf>
    <xf numFmtId="0" fontId="34" fillId="0" borderId="60" xfId="4" applyFont="1" applyBorder="1" applyAlignment="1">
      <alignment horizontal="left" vertical="center" shrinkToFit="1"/>
    </xf>
    <xf numFmtId="0" fontId="34" fillId="0" borderId="56" xfId="4" applyFont="1" applyBorder="1" applyAlignment="1">
      <alignment horizontal="left" vertical="center" shrinkToFit="1"/>
    </xf>
    <xf numFmtId="0" fontId="34" fillId="0" borderId="64" xfId="4" applyFont="1" applyBorder="1" applyAlignment="1">
      <alignment horizontal="left" vertical="center" shrinkToFit="1"/>
    </xf>
    <xf numFmtId="0" fontId="34" fillId="0" borderId="243" xfId="4" applyFont="1" applyBorder="1">
      <alignment vertical="center"/>
    </xf>
    <xf numFmtId="0" fontId="0" fillId="0" borderId="243" xfId="0" applyBorder="1">
      <alignment vertical="center"/>
    </xf>
    <xf numFmtId="49" fontId="34" fillId="0" borderId="243" xfId="4" applyNumberFormat="1" applyFont="1" applyBorder="1" applyAlignment="1" applyProtection="1">
      <alignment horizontal="left" vertical="center"/>
      <protection locked="0"/>
    </xf>
    <xf numFmtId="49" fontId="34" fillId="0" borderId="347" xfId="4" applyNumberFormat="1" applyFont="1" applyBorder="1" applyAlignment="1" applyProtection="1">
      <alignment horizontal="left" vertical="center"/>
      <protection locked="0"/>
    </xf>
    <xf numFmtId="0" fontId="34" fillId="0" borderId="349" xfId="4" applyFont="1" applyBorder="1" applyAlignment="1">
      <alignment vertical="center" shrinkToFit="1"/>
    </xf>
    <xf numFmtId="0" fontId="0" fillId="0" borderId="349" xfId="0" applyBorder="1" applyAlignment="1">
      <alignment vertical="center" shrinkToFit="1"/>
    </xf>
    <xf numFmtId="49" fontId="34" fillId="0" borderId="349" xfId="4" applyNumberFormat="1" applyFont="1" applyBorder="1" applyAlignment="1" applyProtection="1">
      <alignment horizontal="left" vertical="center"/>
      <protection locked="0"/>
    </xf>
    <xf numFmtId="49" fontId="34" fillId="0" borderId="350" xfId="4" applyNumberFormat="1" applyFont="1" applyBorder="1" applyAlignment="1" applyProtection="1">
      <alignment horizontal="left" vertical="center"/>
      <protection locked="0"/>
    </xf>
    <xf numFmtId="0" fontId="34" fillId="0" borderId="30" xfId="4" applyFont="1" applyBorder="1" applyAlignment="1">
      <alignment horizontal="left" vertical="center" shrinkToFit="1"/>
    </xf>
    <xf numFmtId="0" fontId="34" fillId="0" borderId="35" xfId="4" applyFont="1" applyBorder="1" applyAlignment="1">
      <alignment horizontal="left" vertical="center" shrinkToFit="1"/>
    </xf>
    <xf numFmtId="0" fontId="34" fillId="0" borderId="36" xfId="4" applyFont="1" applyBorder="1" applyAlignment="1">
      <alignment horizontal="left" vertical="center" shrinkToFit="1"/>
    </xf>
    <xf numFmtId="0" fontId="34" fillId="0" borderId="37" xfId="4" applyFont="1" applyBorder="1" applyAlignment="1">
      <alignment horizontal="left" vertical="center" shrinkToFit="1"/>
    </xf>
    <xf numFmtId="0" fontId="34" fillId="0" borderId="33" xfId="4" applyFont="1" applyBorder="1" applyAlignment="1">
      <alignment horizontal="left" vertical="center" shrinkToFit="1"/>
    </xf>
    <xf numFmtId="0" fontId="34" fillId="0" borderId="0" xfId="4" applyFont="1" applyAlignment="1">
      <alignment horizontal="left" vertical="center" shrinkToFit="1"/>
    </xf>
    <xf numFmtId="0" fontId="34" fillId="0" borderId="34" xfId="4" applyFont="1" applyBorder="1" applyAlignment="1">
      <alignment horizontal="left" vertical="center" shrinkToFit="1"/>
    </xf>
    <xf numFmtId="10" fontId="34" fillId="19" borderId="8" xfId="6" applyNumberFormat="1" applyFont="1" applyFill="1" applyBorder="1" applyAlignment="1" applyProtection="1">
      <alignment horizontal="center" vertical="center" shrinkToFit="1"/>
    </xf>
    <xf numFmtId="10" fontId="34" fillId="19" borderId="88" xfId="6" applyNumberFormat="1" applyFont="1" applyFill="1" applyBorder="1" applyAlignment="1" applyProtection="1">
      <alignment horizontal="center" vertical="center" shrinkToFit="1"/>
    </xf>
    <xf numFmtId="0" fontId="34" fillId="0" borderId="270" xfId="4" applyFont="1" applyBorder="1" applyAlignment="1">
      <alignment horizontal="left" vertical="center" indent="1" shrinkToFit="1"/>
    </xf>
    <xf numFmtId="0" fontId="34" fillId="0" borderId="269" xfId="4" applyFont="1" applyBorder="1" applyAlignment="1" applyProtection="1">
      <alignment horizontal="left" vertical="center" shrinkToFit="1"/>
      <protection locked="0"/>
    </xf>
    <xf numFmtId="0" fontId="34" fillId="0" borderId="270" xfId="4" applyFont="1" applyBorder="1" applyAlignment="1" applyProtection="1">
      <alignment horizontal="left" vertical="center" shrinkToFit="1"/>
      <protection locked="0"/>
    </xf>
    <xf numFmtId="0" fontId="34" fillId="0" borderId="284" xfId="4" applyFont="1" applyBorder="1" applyAlignment="1" applyProtection="1">
      <alignment horizontal="left" vertical="center" shrinkToFit="1"/>
      <protection locked="0"/>
    </xf>
    <xf numFmtId="6" fontId="34" fillId="0" borderId="270" xfId="6" applyNumberFormat="1" applyFont="1" applyBorder="1" applyAlignment="1" applyProtection="1">
      <alignment horizontal="right" vertical="center" shrinkToFit="1"/>
      <protection locked="0"/>
    </xf>
    <xf numFmtId="6" fontId="34" fillId="0" borderId="271" xfId="6" applyNumberFormat="1" applyFont="1" applyBorder="1" applyAlignment="1" applyProtection="1">
      <alignment horizontal="right" vertical="center" shrinkToFit="1"/>
      <protection locked="0"/>
    </xf>
    <xf numFmtId="0" fontId="30" fillId="2" borderId="40" xfId="4" applyFont="1" applyFill="1" applyBorder="1" applyAlignment="1">
      <alignment horizontal="left" vertical="center"/>
    </xf>
    <xf numFmtId="0" fontId="30" fillId="2" borderId="41" xfId="4" applyFont="1" applyFill="1" applyBorder="1" applyAlignment="1">
      <alignment horizontal="left" vertical="center"/>
    </xf>
    <xf numFmtId="0" fontId="30" fillId="0" borderId="42" xfId="4" applyFont="1" applyBorder="1" applyAlignment="1">
      <alignment horizontal="left" vertical="center"/>
    </xf>
    <xf numFmtId="0" fontId="30" fillId="0" borderId="40" xfId="4" applyFont="1" applyBorder="1" applyAlignment="1">
      <alignment horizontal="left" vertical="center"/>
    </xf>
    <xf numFmtId="0" fontId="30" fillId="0" borderId="43" xfId="4" applyFont="1" applyBorder="1" applyAlignment="1">
      <alignment horizontal="left" vertical="center"/>
    </xf>
    <xf numFmtId="0" fontId="34" fillId="0" borderId="116" xfId="5" applyNumberFormat="1" applyFont="1" applyBorder="1" applyAlignment="1" applyProtection="1">
      <alignment horizontal="right" vertical="center" shrinkToFit="1"/>
    </xf>
    <xf numFmtId="6" fontId="60" fillId="0" borderId="40" xfId="5" applyFont="1" applyBorder="1" applyAlignment="1" applyProtection="1">
      <alignment horizontal="center" vertical="center" shrinkToFit="1"/>
    </xf>
    <xf numFmtId="6" fontId="60" fillId="0" borderId="296" xfId="5" applyFont="1" applyBorder="1" applyAlignment="1" applyProtection="1">
      <alignment horizontal="center" vertical="center" shrinkToFit="1"/>
    </xf>
    <xf numFmtId="0" fontId="30" fillId="7" borderId="321" xfId="4" applyFont="1" applyFill="1" applyBorder="1" applyAlignment="1">
      <alignment horizontal="center" vertical="center" shrinkToFit="1"/>
    </xf>
    <xf numFmtId="0" fontId="30" fillId="7" borderId="153" xfId="4" applyFont="1" applyFill="1" applyBorder="1" applyAlignment="1">
      <alignment horizontal="center" vertical="center" shrinkToFit="1"/>
    </xf>
    <xf numFmtId="0" fontId="30" fillId="7" borderId="322" xfId="4" applyFont="1" applyFill="1" applyBorder="1" applyAlignment="1">
      <alignment horizontal="center" vertical="center" shrinkToFit="1"/>
    </xf>
    <xf numFmtId="0" fontId="34" fillId="0" borderId="0" xfId="4" applyFont="1" applyAlignment="1" applyProtection="1">
      <alignment horizontal="left" vertical="center" shrinkToFit="1"/>
      <protection locked="0"/>
    </xf>
    <xf numFmtId="0" fontId="34" fillId="19" borderId="33" xfId="4" applyFont="1" applyFill="1" applyBorder="1" applyAlignment="1">
      <alignment horizontal="center" vertical="center"/>
    </xf>
    <xf numFmtId="0" fontId="34" fillId="19" borderId="0" xfId="4" applyFont="1" applyFill="1" applyAlignment="1">
      <alignment horizontal="center" vertical="center"/>
    </xf>
    <xf numFmtId="0" fontId="10" fillId="0" borderId="60" xfId="4" applyFont="1" applyBorder="1" applyAlignment="1">
      <alignment horizontal="left" vertical="center"/>
    </xf>
    <xf numFmtId="0" fontId="10" fillId="0" borderId="57" xfId="4" applyFont="1" applyBorder="1" applyAlignment="1">
      <alignment horizontal="left" vertical="center"/>
    </xf>
    <xf numFmtId="0" fontId="42" fillId="0" borderId="31" xfId="0" applyFont="1" applyBorder="1" applyAlignment="1">
      <alignment horizontal="center" vertical="center"/>
    </xf>
    <xf numFmtId="0" fontId="42" fillId="0" borderId="0" xfId="0" applyFont="1" applyAlignment="1">
      <alignment horizontal="center" vertical="center"/>
    </xf>
    <xf numFmtId="0" fontId="43" fillId="0" borderId="31" xfId="0" applyFont="1" applyBorder="1" applyAlignment="1">
      <alignment horizontal="left" vertical="center" wrapText="1"/>
    </xf>
    <xf numFmtId="0" fontId="43" fillId="0" borderId="0" xfId="0" applyFont="1" applyAlignment="1">
      <alignment horizontal="left" vertical="center" wrapText="1"/>
    </xf>
    <xf numFmtId="0" fontId="42" fillId="0" borderId="81" xfId="0" applyFont="1" applyBorder="1" applyAlignment="1">
      <alignment horizontal="center" vertical="center"/>
    </xf>
    <xf numFmtId="0" fontId="42" fillId="0" borderId="274" xfId="0" applyFont="1" applyBorder="1" applyAlignment="1">
      <alignment horizontal="center" vertical="center"/>
    </xf>
    <xf numFmtId="0" fontId="147" fillId="0" borderId="274" xfId="0" applyFont="1" applyBorder="1" applyAlignment="1">
      <alignment horizontal="center" vertical="center" wrapText="1"/>
    </xf>
    <xf numFmtId="0" fontId="147" fillId="0" borderId="274" xfId="0" applyFont="1" applyBorder="1" applyAlignment="1">
      <alignment horizontal="center" vertical="center"/>
    </xf>
    <xf numFmtId="0" fontId="43" fillId="0" borderId="84" xfId="0" applyFont="1" applyBorder="1" applyAlignment="1">
      <alignment horizontal="left" vertical="center" wrapText="1"/>
    </xf>
    <xf numFmtId="0" fontId="42" fillId="0" borderId="276" xfId="0" applyFont="1" applyBorder="1" applyAlignment="1">
      <alignment horizontal="center" vertical="center"/>
    </xf>
    <xf numFmtId="0" fontId="42" fillId="0" borderId="274" xfId="0" applyFont="1" applyBorder="1" applyAlignment="1">
      <alignment horizontal="center" vertical="center" wrapText="1"/>
    </xf>
    <xf numFmtId="0" fontId="43" fillId="0" borderId="340" xfId="0" applyFont="1" applyBorder="1" applyAlignment="1">
      <alignment horizontal="left" vertical="center" wrapText="1"/>
    </xf>
    <xf numFmtId="0" fontId="42" fillId="19" borderId="232" xfId="0" applyFont="1" applyFill="1" applyBorder="1" applyAlignment="1">
      <alignment horizontal="center" vertical="center"/>
    </xf>
    <xf numFmtId="0" fontId="42" fillId="19" borderId="82" xfId="0" applyFont="1" applyFill="1" applyBorder="1" applyAlignment="1">
      <alignment horizontal="center" vertical="center"/>
    </xf>
    <xf numFmtId="0" fontId="42" fillId="0" borderId="271" xfId="0" applyFont="1" applyBorder="1" applyAlignment="1">
      <alignment horizontal="center" vertical="center"/>
    </xf>
    <xf numFmtId="0" fontId="42" fillId="0" borderId="275" xfId="0" applyFont="1" applyBorder="1" applyAlignment="1">
      <alignment horizontal="center" vertical="center"/>
    </xf>
    <xf numFmtId="0" fontId="42" fillId="0" borderId="11" xfId="0" applyFont="1" applyBorder="1" applyAlignment="1">
      <alignment horizontal="center" vertical="center"/>
    </xf>
    <xf numFmtId="0" fontId="43" fillId="0" borderId="85" xfId="0" applyFont="1" applyBorder="1" applyAlignment="1">
      <alignment horizontal="left" vertical="center" wrapText="1"/>
    </xf>
    <xf numFmtId="0" fontId="147" fillId="0" borderId="11" xfId="0" applyFont="1" applyBorder="1" applyAlignment="1">
      <alignment horizontal="center" vertical="center" wrapText="1"/>
    </xf>
    <xf numFmtId="0" fontId="147" fillId="0" borderId="276" xfId="0" applyFont="1" applyBorder="1" applyAlignment="1">
      <alignment horizontal="center" vertical="center"/>
    </xf>
    <xf numFmtId="0" fontId="42" fillId="0" borderId="230" xfId="0" applyFont="1" applyBorder="1" applyAlignment="1">
      <alignment horizontal="center" vertical="center"/>
    </xf>
    <xf numFmtId="0" fontId="42" fillId="0" borderId="148" xfId="0" applyFont="1" applyBorder="1" applyAlignment="1">
      <alignment horizontal="center" vertical="center"/>
    </xf>
    <xf numFmtId="0" fontId="147" fillId="0" borderId="148" xfId="0" applyFont="1" applyBorder="1" applyAlignment="1">
      <alignment horizontal="center" vertical="center"/>
    </xf>
    <xf numFmtId="0" fontId="43" fillId="0" borderId="207" xfId="0" applyFont="1" applyBorder="1" applyAlignment="1">
      <alignment horizontal="left" vertical="center" wrapText="1"/>
    </xf>
    <xf numFmtId="0" fontId="73" fillId="0" borderId="0" xfId="10" applyFont="1" applyAlignment="1" applyProtection="1">
      <alignment horizontal="left" vertical="center"/>
    </xf>
    <xf numFmtId="0" fontId="73" fillId="0" borderId="0" xfId="10" applyFont="1" applyAlignment="1" applyProtection="1">
      <alignment vertical="center"/>
    </xf>
  </cellXfs>
  <cellStyles count="166">
    <cellStyle name="20% - アクセント 1 2" xfId="21" xr:uid="{00000000-0005-0000-0000-000000000000}"/>
    <cellStyle name="20% - アクセント 1 3" xfId="22" xr:uid="{00000000-0005-0000-0000-000001000000}"/>
    <cellStyle name="20% - アクセント 2 2" xfId="23" xr:uid="{00000000-0005-0000-0000-000002000000}"/>
    <cellStyle name="20% - アクセント 2 3" xfId="24" xr:uid="{00000000-0005-0000-0000-000003000000}"/>
    <cellStyle name="20% - アクセント 3 2" xfId="25" xr:uid="{00000000-0005-0000-0000-000004000000}"/>
    <cellStyle name="20% - アクセント 3 3" xfId="26" xr:uid="{00000000-0005-0000-0000-000005000000}"/>
    <cellStyle name="20% - アクセント 4 2" xfId="27" xr:uid="{00000000-0005-0000-0000-000006000000}"/>
    <cellStyle name="20% - アクセント 4 3" xfId="28" xr:uid="{00000000-0005-0000-0000-000007000000}"/>
    <cellStyle name="20% - アクセント 5 2" xfId="29" xr:uid="{00000000-0005-0000-0000-000008000000}"/>
    <cellStyle name="20% - アクセント 5 3" xfId="30" xr:uid="{00000000-0005-0000-0000-000009000000}"/>
    <cellStyle name="20% - アクセント 6 2" xfId="31" xr:uid="{00000000-0005-0000-0000-00000A000000}"/>
    <cellStyle name="20% - アクセント 6 3" xfId="32" xr:uid="{00000000-0005-0000-0000-00000B000000}"/>
    <cellStyle name="40% - アクセント 1 2" xfId="33" xr:uid="{00000000-0005-0000-0000-00000C000000}"/>
    <cellStyle name="40% - アクセント 1 3" xfId="34" xr:uid="{00000000-0005-0000-0000-00000D000000}"/>
    <cellStyle name="40% - アクセント 2 2" xfId="35" xr:uid="{00000000-0005-0000-0000-00000E000000}"/>
    <cellStyle name="40% - アクセント 2 3" xfId="36" xr:uid="{00000000-0005-0000-0000-00000F000000}"/>
    <cellStyle name="40% - アクセント 3 2" xfId="37" xr:uid="{00000000-0005-0000-0000-000010000000}"/>
    <cellStyle name="40% - アクセント 3 3" xfId="38" xr:uid="{00000000-0005-0000-0000-000011000000}"/>
    <cellStyle name="40% - アクセント 4 2" xfId="39" xr:uid="{00000000-0005-0000-0000-000012000000}"/>
    <cellStyle name="40% - アクセント 4 3" xfId="40" xr:uid="{00000000-0005-0000-0000-000013000000}"/>
    <cellStyle name="40% - アクセント 5 2" xfId="41" xr:uid="{00000000-0005-0000-0000-000014000000}"/>
    <cellStyle name="40% - アクセント 5 3" xfId="42" xr:uid="{00000000-0005-0000-0000-000015000000}"/>
    <cellStyle name="40% - アクセント 6 2" xfId="43" xr:uid="{00000000-0005-0000-0000-000016000000}"/>
    <cellStyle name="40% - アクセント 6 3" xfId="44" xr:uid="{00000000-0005-0000-0000-000017000000}"/>
    <cellStyle name="60% - アクセント 1 2" xfId="45" xr:uid="{00000000-0005-0000-0000-000018000000}"/>
    <cellStyle name="60% - アクセント 1 3" xfId="46" xr:uid="{00000000-0005-0000-0000-000019000000}"/>
    <cellStyle name="60% - アクセント 2 2" xfId="47" xr:uid="{00000000-0005-0000-0000-00001A000000}"/>
    <cellStyle name="60% - アクセント 2 3" xfId="48" xr:uid="{00000000-0005-0000-0000-00001B000000}"/>
    <cellStyle name="60% - アクセント 3 2" xfId="49" xr:uid="{00000000-0005-0000-0000-00001C000000}"/>
    <cellStyle name="60% - アクセント 3 3" xfId="50" xr:uid="{00000000-0005-0000-0000-00001D000000}"/>
    <cellStyle name="60% - アクセント 4 2" xfId="51" xr:uid="{00000000-0005-0000-0000-00001E000000}"/>
    <cellStyle name="60% - アクセント 4 3" xfId="52" xr:uid="{00000000-0005-0000-0000-00001F000000}"/>
    <cellStyle name="60% - アクセント 5 2" xfId="53" xr:uid="{00000000-0005-0000-0000-000020000000}"/>
    <cellStyle name="60% - アクセント 5 3" xfId="54" xr:uid="{00000000-0005-0000-0000-000021000000}"/>
    <cellStyle name="60% - アクセント 6 2" xfId="55" xr:uid="{00000000-0005-0000-0000-000022000000}"/>
    <cellStyle name="60% - アクセント 6 3" xfId="56" xr:uid="{00000000-0005-0000-0000-000023000000}"/>
    <cellStyle name="アクセント 1 2" xfId="57" xr:uid="{00000000-0005-0000-0000-000024000000}"/>
    <cellStyle name="アクセント 1 3" xfId="58" xr:uid="{00000000-0005-0000-0000-000025000000}"/>
    <cellStyle name="アクセント 2 2" xfId="59" xr:uid="{00000000-0005-0000-0000-000026000000}"/>
    <cellStyle name="アクセント 2 3" xfId="60" xr:uid="{00000000-0005-0000-0000-000027000000}"/>
    <cellStyle name="アクセント 3 2" xfId="61" xr:uid="{00000000-0005-0000-0000-000028000000}"/>
    <cellStyle name="アクセント 3 3" xfId="62" xr:uid="{00000000-0005-0000-0000-000029000000}"/>
    <cellStyle name="アクセント 4 2" xfId="63" xr:uid="{00000000-0005-0000-0000-00002A000000}"/>
    <cellStyle name="アクセント 4 3" xfId="64" xr:uid="{00000000-0005-0000-0000-00002B000000}"/>
    <cellStyle name="アクセント 5 2" xfId="65" xr:uid="{00000000-0005-0000-0000-00002C000000}"/>
    <cellStyle name="アクセント 5 3" xfId="66" xr:uid="{00000000-0005-0000-0000-00002D000000}"/>
    <cellStyle name="アクセント 6 2" xfId="67" xr:uid="{00000000-0005-0000-0000-00002E000000}"/>
    <cellStyle name="アクセント 6 3" xfId="68" xr:uid="{00000000-0005-0000-0000-00002F000000}"/>
    <cellStyle name="タイトル 2" xfId="69" xr:uid="{00000000-0005-0000-0000-000030000000}"/>
    <cellStyle name="チェック セル 2" xfId="70" xr:uid="{00000000-0005-0000-0000-000031000000}"/>
    <cellStyle name="チェック セル 3" xfId="71" xr:uid="{00000000-0005-0000-0000-000032000000}"/>
    <cellStyle name="どちらでもない 2" xfId="72" xr:uid="{00000000-0005-0000-0000-000033000000}"/>
    <cellStyle name="どちらでもない 3" xfId="73" xr:uid="{00000000-0005-0000-0000-000034000000}"/>
    <cellStyle name="パーセント" xfId="18" builtinId="5"/>
    <cellStyle name="パーセント 2" xfId="6" xr:uid="{00000000-0005-0000-0000-000036000000}"/>
    <cellStyle name="ハイパーリンク" xfId="10" builtinId="8"/>
    <cellStyle name="ハイパーリンク 2" xfId="8" xr:uid="{00000000-0005-0000-0000-000038000000}"/>
    <cellStyle name="ハイパーリンク 3" xfId="131" xr:uid="{00000000-0005-0000-0000-000039000000}"/>
    <cellStyle name="メモ 2" xfId="74" xr:uid="{00000000-0005-0000-0000-00003A000000}"/>
    <cellStyle name="メモ 2 2" xfId="132" xr:uid="{00000000-0005-0000-0000-00003B000000}"/>
    <cellStyle name="メモ 2 2 2" xfId="156" xr:uid="{00000000-0005-0000-0000-00003C000000}"/>
    <cellStyle name="メモ 2 3" xfId="146" xr:uid="{00000000-0005-0000-0000-00003D000000}"/>
    <cellStyle name="メモ 3" xfId="75" xr:uid="{00000000-0005-0000-0000-00003E000000}"/>
    <cellStyle name="メモ 3 2" xfId="133" xr:uid="{00000000-0005-0000-0000-00003F000000}"/>
    <cellStyle name="メモ 3 2 2" xfId="157" xr:uid="{00000000-0005-0000-0000-000040000000}"/>
    <cellStyle name="メモ 3 3" xfId="147" xr:uid="{00000000-0005-0000-0000-000041000000}"/>
    <cellStyle name="リンク セル 2" xfId="76" xr:uid="{00000000-0005-0000-0000-000042000000}"/>
    <cellStyle name="リンク セル 3" xfId="77" xr:uid="{00000000-0005-0000-0000-000043000000}"/>
    <cellStyle name="悪い 2" xfId="78" xr:uid="{00000000-0005-0000-0000-000044000000}"/>
    <cellStyle name="悪い 2 2" xfId="79" xr:uid="{00000000-0005-0000-0000-000045000000}"/>
    <cellStyle name="悪い 2 3" xfId="80" xr:uid="{00000000-0005-0000-0000-000046000000}"/>
    <cellStyle name="悪い 3" xfId="81" xr:uid="{00000000-0005-0000-0000-000047000000}"/>
    <cellStyle name="計算 2" xfId="82" xr:uid="{00000000-0005-0000-0000-000048000000}"/>
    <cellStyle name="計算 2 2" xfId="134" xr:uid="{00000000-0005-0000-0000-000049000000}"/>
    <cellStyle name="計算 2 2 2" xfId="158" xr:uid="{00000000-0005-0000-0000-00004A000000}"/>
    <cellStyle name="計算 2 3" xfId="148" xr:uid="{00000000-0005-0000-0000-00004B000000}"/>
    <cellStyle name="計算 3" xfId="83" xr:uid="{00000000-0005-0000-0000-00004C000000}"/>
    <cellStyle name="計算 3 2" xfId="135" xr:uid="{00000000-0005-0000-0000-00004D000000}"/>
    <cellStyle name="計算 3 2 2" xfId="159" xr:uid="{00000000-0005-0000-0000-00004E000000}"/>
    <cellStyle name="計算 3 3" xfId="149" xr:uid="{00000000-0005-0000-0000-00004F000000}"/>
    <cellStyle name="警告文 2" xfId="84" xr:uid="{00000000-0005-0000-0000-000050000000}"/>
    <cellStyle name="警告文 3" xfId="85" xr:uid="{00000000-0005-0000-0000-000051000000}"/>
    <cellStyle name="桁区切り" xfId="11" builtinId="6"/>
    <cellStyle name="桁区切り 2" xfId="7" xr:uid="{00000000-0005-0000-0000-000053000000}"/>
    <cellStyle name="桁区切り 3" xfId="15" xr:uid="{00000000-0005-0000-0000-000054000000}"/>
    <cellStyle name="見出し 1 2" xfId="86" xr:uid="{00000000-0005-0000-0000-000055000000}"/>
    <cellStyle name="見出し 1 3" xfId="87" xr:uid="{00000000-0005-0000-0000-000056000000}"/>
    <cellStyle name="見出し 2 2" xfId="88" xr:uid="{00000000-0005-0000-0000-000057000000}"/>
    <cellStyle name="見出し 2 3" xfId="89" xr:uid="{00000000-0005-0000-0000-000058000000}"/>
    <cellStyle name="見出し 3 2" xfId="90" xr:uid="{00000000-0005-0000-0000-000059000000}"/>
    <cellStyle name="見出し 3 2 2" xfId="136" xr:uid="{00000000-0005-0000-0000-00005A000000}"/>
    <cellStyle name="見出し 3 3" xfId="91" xr:uid="{00000000-0005-0000-0000-00005B000000}"/>
    <cellStyle name="見出し 3 3 2" xfId="137" xr:uid="{00000000-0005-0000-0000-00005C000000}"/>
    <cellStyle name="見出し 4 2" xfId="92" xr:uid="{00000000-0005-0000-0000-00005D000000}"/>
    <cellStyle name="見出し 4 3" xfId="93" xr:uid="{00000000-0005-0000-0000-00005E000000}"/>
    <cellStyle name="集計 2" xfId="94" xr:uid="{00000000-0005-0000-0000-00005F000000}"/>
    <cellStyle name="集計 2 2" xfId="138" xr:uid="{00000000-0005-0000-0000-000060000000}"/>
    <cellStyle name="集計 2 2 2" xfId="160" xr:uid="{00000000-0005-0000-0000-000061000000}"/>
    <cellStyle name="集計 2 3" xfId="150" xr:uid="{00000000-0005-0000-0000-000062000000}"/>
    <cellStyle name="集計 3" xfId="95" xr:uid="{00000000-0005-0000-0000-000063000000}"/>
    <cellStyle name="集計 3 2" xfId="139" xr:uid="{00000000-0005-0000-0000-000064000000}"/>
    <cellStyle name="集計 3 2 2" xfId="161" xr:uid="{00000000-0005-0000-0000-000065000000}"/>
    <cellStyle name="集計 3 3" xfId="151" xr:uid="{00000000-0005-0000-0000-000066000000}"/>
    <cellStyle name="出力 2" xfId="96" xr:uid="{00000000-0005-0000-0000-000067000000}"/>
    <cellStyle name="出力 2 2" xfId="140" xr:uid="{00000000-0005-0000-0000-000068000000}"/>
    <cellStyle name="出力 2 2 2" xfId="162" xr:uid="{00000000-0005-0000-0000-000069000000}"/>
    <cellStyle name="出力 2 3" xfId="152" xr:uid="{00000000-0005-0000-0000-00006A000000}"/>
    <cellStyle name="出力 3" xfId="97" xr:uid="{00000000-0005-0000-0000-00006B000000}"/>
    <cellStyle name="出力 3 2" xfId="141" xr:uid="{00000000-0005-0000-0000-00006C000000}"/>
    <cellStyle name="出力 3 2 2" xfId="163" xr:uid="{00000000-0005-0000-0000-00006D000000}"/>
    <cellStyle name="出力 3 3" xfId="153" xr:uid="{00000000-0005-0000-0000-00006E000000}"/>
    <cellStyle name="常规 2" xfId="142" xr:uid="{00000000-0005-0000-0000-00006F000000}"/>
    <cellStyle name="説明文 2" xfId="98" xr:uid="{00000000-0005-0000-0000-000070000000}"/>
    <cellStyle name="説明文 3" xfId="99" xr:uid="{00000000-0005-0000-0000-000071000000}"/>
    <cellStyle name="通貨" xfId="13" builtinId="7"/>
    <cellStyle name="通貨 2" xfId="5" xr:uid="{00000000-0005-0000-0000-000073000000}"/>
    <cellStyle name="通貨 3" xfId="16" xr:uid="{00000000-0005-0000-0000-000074000000}"/>
    <cellStyle name="入力 2" xfId="100" xr:uid="{00000000-0005-0000-0000-000075000000}"/>
    <cellStyle name="入力 2 2" xfId="143" xr:uid="{00000000-0005-0000-0000-000076000000}"/>
    <cellStyle name="入力 2 2 2" xfId="164" xr:uid="{00000000-0005-0000-0000-000077000000}"/>
    <cellStyle name="入力 2 3" xfId="154" xr:uid="{00000000-0005-0000-0000-000078000000}"/>
    <cellStyle name="入力 3" xfId="101" xr:uid="{00000000-0005-0000-0000-000079000000}"/>
    <cellStyle name="入力 3 2" xfId="144" xr:uid="{00000000-0005-0000-0000-00007A000000}"/>
    <cellStyle name="入力 3 2 2" xfId="165" xr:uid="{00000000-0005-0000-0000-00007B000000}"/>
    <cellStyle name="入力 3 3" xfId="155" xr:uid="{00000000-0005-0000-0000-00007C000000}"/>
    <cellStyle name="標準" xfId="0" builtinId="0"/>
    <cellStyle name="標準 10" xfId="102" xr:uid="{00000000-0005-0000-0000-00007E000000}"/>
    <cellStyle name="標準 11" xfId="103" xr:uid="{00000000-0005-0000-0000-00007F000000}"/>
    <cellStyle name="標準 12" xfId="104" xr:uid="{00000000-0005-0000-0000-000080000000}"/>
    <cellStyle name="標準 13" xfId="105" xr:uid="{00000000-0005-0000-0000-000081000000}"/>
    <cellStyle name="標準 14" xfId="106" xr:uid="{00000000-0005-0000-0000-000082000000}"/>
    <cellStyle name="標準 15" xfId="107" xr:uid="{00000000-0005-0000-0000-000083000000}"/>
    <cellStyle name="標準 16" xfId="108" xr:uid="{00000000-0005-0000-0000-000084000000}"/>
    <cellStyle name="標準 17" xfId="109" xr:uid="{00000000-0005-0000-0000-000085000000}"/>
    <cellStyle name="標準 18" xfId="110" xr:uid="{00000000-0005-0000-0000-000086000000}"/>
    <cellStyle name="標準 19" xfId="111" xr:uid="{00000000-0005-0000-0000-000087000000}"/>
    <cellStyle name="標準 2" xfId="1" xr:uid="{00000000-0005-0000-0000-000088000000}"/>
    <cellStyle name="標準 2 2" xfId="2" xr:uid="{00000000-0005-0000-0000-000089000000}"/>
    <cellStyle name="標準 2 3" xfId="145" xr:uid="{00000000-0005-0000-0000-00008A000000}"/>
    <cellStyle name="標準 20" xfId="112" xr:uid="{00000000-0005-0000-0000-00008B000000}"/>
    <cellStyle name="標準 21" xfId="113" xr:uid="{00000000-0005-0000-0000-00008C000000}"/>
    <cellStyle name="標準 22" xfId="114" xr:uid="{00000000-0005-0000-0000-00008D000000}"/>
    <cellStyle name="標準 23" xfId="115" xr:uid="{00000000-0005-0000-0000-00008E000000}"/>
    <cellStyle name="標準 24" xfId="116" xr:uid="{00000000-0005-0000-0000-00008F000000}"/>
    <cellStyle name="標準 25" xfId="117" xr:uid="{00000000-0005-0000-0000-000090000000}"/>
    <cellStyle name="標準 26" xfId="118" xr:uid="{00000000-0005-0000-0000-000091000000}"/>
    <cellStyle name="標準 27" xfId="119" xr:uid="{00000000-0005-0000-0000-000092000000}"/>
    <cellStyle name="標準 28" xfId="120" xr:uid="{00000000-0005-0000-0000-000093000000}"/>
    <cellStyle name="標準 29" xfId="121" xr:uid="{00000000-0005-0000-0000-000094000000}"/>
    <cellStyle name="標準 3" xfId="4" xr:uid="{00000000-0005-0000-0000-000095000000}"/>
    <cellStyle name="標準 3 2" xfId="12" xr:uid="{00000000-0005-0000-0000-000096000000}"/>
    <cellStyle name="標準 3 3" xfId="129" xr:uid="{00000000-0005-0000-0000-000097000000}"/>
    <cellStyle name="標準 30" xfId="122" xr:uid="{00000000-0005-0000-0000-000098000000}"/>
    <cellStyle name="標準 4" xfId="3" xr:uid="{00000000-0005-0000-0000-000099000000}"/>
    <cellStyle name="標準 4 2" xfId="9" xr:uid="{00000000-0005-0000-0000-00009A000000}"/>
    <cellStyle name="標準 5" xfId="17" xr:uid="{00000000-0005-0000-0000-00009B000000}"/>
    <cellStyle name="標準 6" xfId="123" xr:uid="{00000000-0005-0000-0000-00009C000000}"/>
    <cellStyle name="標準 6 2" xfId="130" xr:uid="{00000000-0005-0000-0000-00009D000000}"/>
    <cellStyle name="標準 7" xfId="124" xr:uid="{00000000-0005-0000-0000-00009E000000}"/>
    <cellStyle name="標準 8" xfId="125" xr:uid="{00000000-0005-0000-0000-00009F000000}"/>
    <cellStyle name="標準 9" xfId="126" xr:uid="{00000000-0005-0000-0000-0000A0000000}"/>
    <cellStyle name="標準_100803業種ID一覧(加盟店審査用)" xfId="20" xr:uid="{00000000-0005-0000-0000-0000A1000000}"/>
    <cellStyle name="標準_Sheet1" xfId="19" xr:uid="{00000000-0005-0000-0000-0000A2000000}"/>
    <cellStyle name="良い" xfId="14" builtinId="26"/>
    <cellStyle name="良い 2" xfId="127" xr:uid="{00000000-0005-0000-0000-0000A4000000}"/>
    <cellStyle name="良い 3" xfId="128" xr:uid="{00000000-0005-0000-0000-0000A5000000}"/>
  </cellStyles>
  <dxfs count="503">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strike val="0"/>
        <color rgb="FFFF0000"/>
      </font>
      <fill>
        <patternFill>
          <bgColor rgb="FFFFFF00"/>
        </patternFill>
      </fill>
    </dxf>
    <dxf>
      <font>
        <strike val="0"/>
        <color theme="1"/>
      </font>
      <fill>
        <patternFill>
          <bgColor theme="0"/>
        </patternFill>
      </fill>
    </dxf>
    <dxf>
      <font>
        <b/>
        <i val="0"/>
        <color rgb="FFFF0000"/>
      </font>
      <fill>
        <patternFill>
          <bgColor rgb="FFFFFF00"/>
        </patternFill>
      </fill>
    </dxf>
    <dxf>
      <fill>
        <patternFill>
          <bgColor theme="9" tint="0.39994506668294322"/>
        </patternFill>
      </fill>
    </dxf>
    <dxf>
      <font>
        <b val="0"/>
        <i val="0"/>
        <color auto="1"/>
      </font>
      <fill>
        <patternFill>
          <bgColor theme="8"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1" tint="0.24994659260841701"/>
        </patternFill>
      </fill>
    </dxf>
    <dxf>
      <fill>
        <patternFill>
          <bgColor theme="8" tint="0.39994506668294322"/>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ont>
        <b/>
        <i val="0"/>
        <color rgb="FFFF0000"/>
      </font>
      <fill>
        <patternFill>
          <bgColor rgb="FFFFFF00"/>
        </patternFill>
      </fill>
    </dxf>
    <dxf>
      <fill>
        <patternFill>
          <bgColor theme="8" tint="0.39994506668294322"/>
        </patternFill>
      </fill>
    </dxf>
    <dxf>
      <font>
        <color rgb="FFFF0000"/>
      </font>
      <fill>
        <patternFill>
          <bgColor rgb="FFFFFF00"/>
        </patternFill>
      </fill>
    </dxf>
    <dxf>
      <fill>
        <patternFill>
          <bgColor theme="9" tint="0.39994506668294322"/>
        </patternFill>
      </fill>
    </dxf>
    <dxf>
      <font>
        <strike val="0"/>
      </font>
      <fill>
        <patternFill patternType="none">
          <fgColor indexed="64"/>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0000FF"/>
      </font>
      <numFmt numFmtId="0" formatCode="General"/>
    </dxf>
    <dxf>
      <font>
        <color rgb="FF0000FF"/>
      </font>
      <numFmt numFmtId="0" formatCode="General"/>
    </dxf>
    <dxf>
      <fill>
        <patternFill>
          <bgColor theme="8" tint="0.39994506668294322"/>
        </patternFill>
      </fill>
    </dxf>
    <dxf>
      <font>
        <b/>
        <i val="0"/>
        <color rgb="FFFF0000"/>
      </font>
      <fill>
        <patternFill>
          <bgColor rgb="FFFFFF00"/>
        </patternFill>
      </fill>
    </dxf>
    <dxf>
      <font>
        <b/>
        <i val="0"/>
        <color rgb="FF0000FF"/>
      </font>
      <fill>
        <patternFill patternType="none">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FF0000"/>
      </font>
      <fill>
        <patternFill>
          <bgColor rgb="FFFFFF00"/>
        </patternFill>
      </fill>
    </dxf>
    <dxf>
      <font>
        <color rgb="FF0000FF"/>
      </font>
      <numFmt numFmtId="0" formatCode="Genera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theme="1"/>
      </font>
      <fill>
        <patternFill>
          <bgColor theme="1" tint="0.24994659260841701"/>
        </patternFill>
      </fill>
    </dxf>
    <dxf>
      <fill>
        <patternFill>
          <bgColor theme="9" tint="0.39994506668294322"/>
        </patternFill>
      </fill>
    </dxf>
    <dxf>
      <font>
        <color rgb="FF0000FF"/>
      </font>
      <numFmt numFmtId="0" formatCode="General"/>
    </dxf>
    <dxf>
      <font>
        <color rgb="FF0000FF"/>
      </font>
      <numFmt numFmtId="0" formatCode="Genera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49998474074526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color theme="1" tint="0.24994659260841701"/>
      </font>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ont>
        <strike val="0"/>
        <color theme="1"/>
      </font>
      <fill>
        <patternFill>
          <bgColor theme="0"/>
        </patternFill>
      </fill>
    </dxf>
    <dxf>
      <font>
        <strike val="0"/>
        <color rgb="FFFF0000"/>
      </font>
      <fill>
        <patternFill>
          <bgColor rgb="FFFFFF00"/>
        </patternFill>
      </fill>
    </dxf>
    <dxf>
      <fill>
        <patternFill>
          <bgColor theme="9" tint="0.39994506668294322"/>
        </patternFill>
      </fill>
    </dxf>
    <dxf>
      <font>
        <b val="0"/>
        <i val="0"/>
        <color auto="1"/>
      </font>
      <fill>
        <patternFill>
          <bgColor theme="8"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ont>
        <color rgb="FFFF0000"/>
      </font>
      <fill>
        <patternFill>
          <bgColor rgb="FFFFFF00"/>
        </patternFill>
      </fill>
    </dxf>
    <dxf>
      <fill>
        <patternFill>
          <bgColor theme="9" tint="0.39994506668294322"/>
        </patternFill>
      </fill>
    </dxf>
    <dxf>
      <font>
        <strike val="0"/>
      </font>
      <fill>
        <patternFill patternType="none">
          <fgColor indexed="64"/>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FF00"/>
        </patternFill>
      </fill>
    </dxf>
    <dxf>
      <font>
        <color rgb="FF0000FF"/>
      </font>
      <numFmt numFmtId="0" formatCode="General"/>
    </dxf>
    <dxf>
      <font>
        <color rgb="FF0000FF"/>
      </font>
      <numFmt numFmtId="0" formatCode="General"/>
    </dxf>
    <dxf>
      <fill>
        <patternFill>
          <bgColor theme="8" tint="0.39994506668294322"/>
        </patternFill>
      </fill>
    </dxf>
    <dxf>
      <font>
        <b/>
        <i val="0"/>
        <color rgb="FFFF0000"/>
      </font>
      <fill>
        <patternFill>
          <bgColor rgb="FFFFFF00"/>
        </patternFill>
      </fill>
    </dxf>
    <dxf>
      <font>
        <b/>
        <i val="0"/>
        <color rgb="FF0000FF"/>
      </font>
      <fill>
        <patternFill patternType="none">
          <bgColor auto="1"/>
        </patternFill>
      </fill>
    </dxf>
    <dxf>
      <fill>
        <patternFill>
          <bgColor theme="9" tint="0.39994506668294322"/>
        </patternFill>
      </fill>
    </dxf>
    <dxf>
      <fill>
        <patternFill>
          <bgColor theme="1" tint="0.24994659260841701"/>
        </patternFill>
      </fill>
    </dxf>
    <dxf>
      <fill>
        <patternFill>
          <bgColor theme="9" tint="0.39994506668294322"/>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ill>
        <patternFill>
          <bgColor theme="1" tint="0.24994659260841701"/>
        </patternFill>
      </fill>
    </dxf>
    <dxf>
      <font>
        <color theme="1"/>
      </font>
      <fill>
        <patternFill>
          <bgColor theme="1" tint="0.24994659260841701"/>
        </patternFill>
      </fill>
    </dxf>
    <dxf>
      <fill>
        <patternFill>
          <bgColor theme="1" tint="0.24994659260841701"/>
        </patternFill>
      </fill>
    </dxf>
    <dxf>
      <font>
        <color theme="1"/>
      </font>
      <fill>
        <patternFill>
          <bgColor theme="1" tint="0.24994659260841701"/>
        </patternFill>
      </fill>
    </dxf>
    <dxf>
      <font>
        <color rgb="FF0000FF"/>
      </font>
      <numFmt numFmtId="0" formatCode="Genera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49998474074526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14996795556505021"/>
        </patternFill>
      </fill>
    </dxf>
    <dxf>
      <fill>
        <patternFill>
          <bgColor theme="1"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FFFFCC"/>
      <color rgb="FFFFCCFF"/>
      <color rgb="FF99CCFF"/>
      <color rgb="FFFF6600"/>
      <color rgb="FFFF5050"/>
      <color rgb="FFFF66FF"/>
      <color rgb="FFFF99FF"/>
      <color rgb="FFFF00FF"/>
      <color rgb="FFCCFFCC"/>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Radio" checked="Checked" lockText="1"/>
</file>

<file path=xl/ctrlProps/ctrlProp100.xml><?xml version="1.0" encoding="utf-8"?>
<formControlPr xmlns="http://schemas.microsoft.com/office/spreadsheetml/2009/9/main" objectType="CheckBox" checked="Checked" fmlaLink="$AV$75" lockText="1"/>
</file>

<file path=xl/ctrlProps/ctrlProp101.xml><?xml version="1.0" encoding="utf-8"?>
<formControlPr xmlns="http://schemas.microsoft.com/office/spreadsheetml/2009/9/main" objectType="CheckBox" checked="Checked" fmlaLink="$AV$78" lockText="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checked="Checked" firstButton="1" fmlaLink="$AW$66"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fmlaLink="$AV$82"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AV$154" lockText="1"/>
</file>

<file path=xl/ctrlProps/ctrlProp113.xml><?xml version="1.0" encoding="utf-8"?>
<formControlPr xmlns="http://schemas.microsoft.com/office/spreadsheetml/2009/9/main" objectType="Radio" checked="Checked"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AV$156"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AW$156" lockText="1"/>
</file>

<file path=xl/ctrlProps/ctrlProp119.xml><?xml version="1.0" encoding="utf-8"?>
<formControlPr xmlns="http://schemas.microsoft.com/office/spreadsheetml/2009/9/main" objectType="Radio" checked="Checked"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firstButton="1" fmlaLink="$AV$157"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V$158"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AV$160" lockText="1"/>
</file>

<file path=xl/ctrlProps/ctrlProp134.xml><?xml version="1.0" encoding="utf-8"?>
<formControlPr xmlns="http://schemas.microsoft.com/office/spreadsheetml/2009/9/main" objectType="Radio" checked="Checked"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CheckBox" checked="Checked" fmlaLink="$AV$60" lockText="1"/>
</file>

<file path=xl/ctrlProps/ctrlProp137.xml><?xml version="1.0" encoding="utf-8"?>
<formControlPr xmlns="http://schemas.microsoft.com/office/spreadsheetml/2009/9/main" objectType="CheckBox" checked="Checked" fmlaLink="$AV$64"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AV$63" lockText="1"/>
</file>

<file path=xl/ctrlProps/ctrlProp14.xml><?xml version="1.0" encoding="utf-8"?>
<formControlPr xmlns="http://schemas.microsoft.com/office/spreadsheetml/2009/9/main" objectType="CheckBox" fmlaLink="$AV$91"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Radio" firstButton="1" fmlaLink="$AV$84" lockText="1"/>
</file>

<file path=xl/ctrlProps/ctrlProp144.xml><?xml version="1.0" encoding="utf-8"?>
<formControlPr xmlns="http://schemas.microsoft.com/office/spreadsheetml/2009/9/main" objectType="Radio" checked="Checked" lockText="1"/>
</file>

<file path=xl/ctrlProps/ctrlProp145.xml><?xml version="1.0" encoding="utf-8"?>
<formControlPr xmlns="http://schemas.microsoft.com/office/spreadsheetml/2009/9/main" objectType="Radio" lockText="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checked="Checked" firstButton="1" fmlaLink="$AV$87" lockText="1"/>
</file>

<file path=xl/ctrlProps/ctrlProp148.xml><?xml version="1.0" encoding="utf-8"?>
<formControlPr xmlns="http://schemas.microsoft.com/office/spreadsheetml/2009/9/main" objectType="Radio" lockText="1"/>
</file>

<file path=xl/ctrlProps/ctrlProp149.xml><?xml version="1.0" encoding="utf-8"?>
<formControlPr xmlns="http://schemas.microsoft.com/office/spreadsheetml/2009/9/main" objectType="CheckBox" checked="Checked" fmlaLink="$AV$175" lockText="1"/>
</file>

<file path=xl/ctrlProps/ctrlProp15.xml><?xml version="1.0" encoding="utf-8"?>
<formControlPr xmlns="http://schemas.microsoft.com/office/spreadsheetml/2009/9/main" objectType="CheckBox" checked="Checked" fmlaLink="$BA$91" lockText="1"/>
</file>

<file path=xl/ctrlProps/ctrlProp150.xml><?xml version="1.0" encoding="utf-8"?>
<formControlPr xmlns="http://schemas.microsoft.com/office/spreadsheetml/2009/9/main" objectType="CheckBox" checked="Checked" fmlaLink="$AV$78"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CheckBox" checked="Checked" fmlaLink="$AV$80"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checked="Checked" firstButton="1" fmlaLink="$BA$79" lockText="1"/>
</file>

<file path=xl/ctrlProps/ctrlProp155.xml><?xml version="1.0" encoding="utf-8"?>
<formControlPr xmlns="http://schemas.microsoft.com/office/spreadsheetml/2009/9/main" objectType="Radio" lockText="1"/>
</file>

<file path=xl/ctrlProps/ctrlProp156.xml><?xml version="1.0" encoding="utf-8"?>
<formControlPr xmlns="http://schemas.microsoft.com/office/spreadsheetml/2009/9/main" objectType="CheckBox" fmlaLink="$AV$89" lockText="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AV$159" lockText="1"/>
</file>

<file path=xl/ctrlProps/ctrlProp159.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CheckBox" fmlaLink="$BC$91" lockText="1"/>
</file>

<file path=xl/ctrlProps/ctrlProp160.xml><?xml version="1.0" encoding="utf-8"?>
<formControlPr xmlns="http://schemas.microsoft.com/office/spreadsheetml/2009/9/main" objectType="Radio" firstButton="1" fmlaLink="$G$5"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CheckBox" fmlaLink="$AY$91"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checked="Checked" firstButton="1" fmlaLink="$AV$104"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checked="Checked"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Radio" lockText="1"/>
</file>

<file path=xl/ctrlProps/ctrlProp194.xml><?xml version="1.0" encoding="utf-8"?>
<formControlPr xmlns="http://schemas.microsoft.com/office/spreadsheetml/2009/9/main" objectType="Radio" lockText="1"/>
</file>

<file path=xl/ctrlProps/ctrlProp195.xml><?xml version="1.0" encoding="utf-8"?>
<formControlPr xmlns="http://schemas.microsoft.com/office/spreadsheetml/2009/9/main" objectType="Radio" lockText="1"/>
</file>

<file path=xl/ctrlProps/ctrlProp196.xml><?xml version="1.0" encoding="utf-8"?>
<formControlPr xmlns="http://schemas.microsoft.com/office/spreadsheetml/2009/9/main" objectType="Radio"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Radio" lockText="1"/>
</file>

<file path=xl/ctrlProps/ctrlProp201.xml><?xml version="1.0" encoding="utf-8"?>
<formControlPr xmlns="http://schemas.microsoft.com/office/spreadsheetml/2009/9/main" objectType="Radio"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Radio" lockText="1"/>
</file>

<file path=xl/ctrlProps/ctrlProp222.xml><?xml version="1.0" encoding="utf-8"?>
<formControlPr xmlns="http://schemas.microsoft.com/office/spreadsheetml/2009/9/main" objectType="Radio"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Radio"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lockText="1"/>
</file>

<file path=xl/ctrlProps/ctrlProp237.xml><?xml version="1.0" encoding="utf-8"?>
<formControlPr xmlns="http://schemas.microsoft.com/office/spreadsheetml/2009/9/main" objectType="Radio" lockText="1"/>
</file>

<file path=xl/ctrlProps/ctrlProp238.xml><?xml version="1.0" encoding="utf-8"?>
<formControlPr xmlns="http://schemas.microsoft.com/office/spreadsheetml/2009/9/main" objectType="Radio" lockText="1"/>
</file>

<file path=xl/ctrlProps/ctrlProp239.xml><?xml version="1.0" encoding="utf-8"?>
<formControlPr xmlns="http://schemas.microsoft.com/office/spreadsheetml/2009/9/main" objectType="Radio" lockText="1"/>
</file>

<file path=xl/ctrlProps/ctrlProp24.xml><?xml version="1.0" encoding="utf-8"?>
<formControlPr xmlns="http://schemas.microsoft.com/office/spreadsheetml/2009/9/main" objectType="CheckBox" fmlaLink="$AV$69" lockText="1"/>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AV$80" lockText="1"/>
</file>

<file path=xl/ctrlProps/ctrlProp250.xml><?xml version="1.0" encoding="utf-8"?>
<formControlPr xmlns="http://schemas.microsoft.com/office/spreadsheetml/2009/9/main" objectType="Radio" firstButton="1" fmlaLink="$G$5"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checked="Checked"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AX$80"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CheckBox" fmlaLink="$AW$80" lockText="1"/>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Radio"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AY$80"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Radio"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Radio"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Radio" lockText="1"/>
</file>

<file path=xl/ctrlProps/ctrlProp288.xml><?xml version="1.0" encoding="utf-8"?>
<formControlPr xmlns="http://schemas.microsoft.com/office/spreadsheetml/2009/9/main" objectType="Radio" lockText="1"/>
</file>

<file path=xl/ctrlProps/ctrlProp289.xml><?xml version="1.0" encoding="utf-8"?>
<formControlPr xmlns="http://schemas.microsoft.com/office/spreadsheetml/2009/9/main" objectType="Radio" lockText="1"/>
</file>

<file path=xl/ctrlProps/ctrlProp29.xml><?xml version="1.0" encoding="utf-8"?>
<formControlPr xmlns="http://schemas.microsoft.com/office/spreadsheetml/2009/9/main" objectType="CheckBox" fmlaLink="$AZ$80" lockText="1"/>
</file>

<file path=xl/ctrlProps/ctrlProp290.xml><?xml version="1.0" encoding="utf-8"?>
<formControlPr xmlns="http://schemas.microsoft.com/office/spreadsheetml/2009/9/main" objectType="Radio" lockText="1"/>
</file>

<file path=xl/ctrlProps/ctrlProp291.xml><?xml version="1.0" encoding="utf-8"?>
<formControlPr xmlns="http://schemas.microsoft.com/office/spreadsheetml/2009/9/main" objectType="Radio"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Radio" lockText="1"/>
</file>

<file path=xl/ctrlProps/ctrlProp297.xml><?xml version="1.0" encoding="utf-8"?>
<formControlPr xmlns="http://schemas.microsoft.com/office/spreadsheetml/2009/9/main" objectType="Radio"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fmlaLink="$BA$80" lockText="1"/>
</file>

<file path=xl/ctrlProps/ctrlProp300.xml><?xml version="1.0" encoding="utf-8"?>
<formControlPr xmlns="http://schemas.microsoft.com/office/spreadsheetml/2009/9/main" objectType="Radio"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lockText="1"/>
</file>

<file path=xl/ctrlProps/ctrlProp305.xml><?xml version="1.0" encoding="utf-8"?>
<formControlPr xmlns="http://schemas.microsoft.com/office/spreadsheetml/2009/9/main" objectType="Radio"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Radio" lockText="1"/>
</file>

<file path=xl/ctrlProps/ctrlProp309.xml><?xml version="1.0" encoding="utf-8"?>
<formControlPr xmlns="http://schemas.microsoft.com/office/spreadsheetml/2009/9/main" objectType="Radio" lockText="1"/>
</file>

<file path=xl/ctrlProps/ctrlProp31.xml><?xml version="1.0" encoding="utf-8"?>
<formControlPr xmlns="http://schemas.microsoft.com/office/spreadsheetml/2009/9/main" objectType="CheckBox" checked="Checked" fmlaLink="$BB$8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Radio"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Radio" lockText="1"/>
</file>

<file path=xl/ctrlProps/ctrlProp317.xml><?xml version="1.0" encoding="utf-8"?>
<formControlPr xmlns="http://schemas.microsoft.com/office/spreadsheetml/2009/9/main" objectType="Radio"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BC$80" lockText="1"/>
</file>

<file path=xl/ctrlProps/ctrlProp320.xml><?xml version="1.0" encoding="utf-8"?>
<formControlPr xmlns="http://schemas.microsoft.com/office/spreadsheetml/2009/9/main" objectType="Radio"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Radio"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Radio" lockText="1"/>
</file>

<file path=xl/ctrlProps/ctrlProp327.xml><?xml version="1.0" encoding="utf-8"?>
<formControlPr xmlns="http://schemas.microsoft.com/office/spreadsheetml/2009/9/main" objectType="Radio" lockText="1"/>
</file>

<file path=xl/ctrlProps/ctrlProp328.xml><?xml version="1.0" encoding="utf-8"?>
<formControlPr xmlns="http://schemas.microsoft.com/office/spreadsheetml/2009/9/main" objectType="Radio" lockText="1"/>
</file>

<file path=xl/ctrlProps/ctrlProp329.xml><?xml version="1.0" encoding="utf-8"?>
<formControlPr xmlns="http://schemas.microsoft.com/office/spreadsheetml/2009/9/main" objectType="Radio" lockText="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Radio" lockText="1"/>
</file>

<file path=xl/ctrlProps/ctrlProp334.xml><?xml version="1.0" encoding="utf-8"?>
<formControlPr xmlns="http://schemas.microsoft.com/office/spreadsheetml/2009/9/main" objectType="Radio" lockText="1"/>
</file>

<file path=xl/ctrlProps/ctrlProp335.xml><?xml version="1.0" encoding="utf-8"?>
<formControlPr xmlns="http://schemas.microsoft.com/office/spreadsheetml/2009/9/main" objectType="Radio" lockText="1"/>
</file>

<file path=xl/ctrlProps/ctrlProp336.xml><?xml version="1.0" encoding="utf-8"?>
<formControlPr xmlns="http://schemas.microsoft.com/office/spreadsheetml/2009/9/main" objectType="Radio" lockText="1"/>
</file>

<file path=xl/ctrlProps/ctrlProp337.xml><?xml version="1.0" encoding="utf-8"?>
<formControlPr xmlns="http://schemas.microsoft.com/office/spreadsheetml/2009/9/main" objectType="Radio" lockText="1"/>
</file>

<file path=xl/ctrlProps/ctrlProp338.xml><?xml version="1.0" encoding="utf-8"?>
<formControlPr xmlns="http://schemas.microsoft.com/office/spreadsheetml/2009/9/main" objectType="Radio" lockText="1"/>
</file>

<file path=xl/ctrlProps/ctrlProp339.xml><?xml version="1.0" encoding="utf-8"?>
<formControlPr xmlns="http://schemas.microsoft.com/office/spreadsheetml/2009/9/main" objectType="Radio" lockText="1"/>
</file>

<file path=xl/ctrlProps/ctrlProp34.xml><?xml version="1.0" encoding="utf-8"?>
<formControlPr xmlns="http://schemas.microsoft.com/office/spreadsheetml/2009/9/main" objectType="CheckBox" fmlaLink="$AZ$91" lockText="1"/>
</file>

<file path=xl/ctrlProps/ctrlProp340.xml><?xml version="1.0" encoding="utf-8"?>
<formControlPr xmlns="http://schemas.microsoft.com/office/spreadsheetml/2009/9/main" objectType="Radio" lockText="1"/>
</file>

<file path=xl/ctrlProps/ctrlProp341.xml><?xml version="1.0" encoding="utf-8"?>
<formControlPr xmlns="http://schemas.microsoft.com/office/spreadsheetml/2009/9/main" objectType="Radio" lockText="1"/>
</file>

<file path=xl/ctrlProps/ctrlProp342.xml><?xml version="1.0" encoding="utf-8"?>
<formControlPr xmlns="http://schemas.microsoft.com/office/spreadsheetml/2009/9/main" objectType="Radio" lockText="1"/>
</file>

<file path=xl/ctrlProps/ctrlProp343.xml><?xml version="1.0" encoding="utf-8"?>
<formControlPr xmlns="http://schemas.microsoft.com/office/spreadsheetml/2009/9/main" objectType="Radio" lockText="1"/>
</file>

<file path=xl/ctrlProps/ctrlProp344.xml><?xml version="1.0" encoding="utf-8"?>
<formControlPr xmlns="http://schemas.microsoft.com/office/spreadsheetml/2009/9/main" objectType="Radio" lockText="1"/>
</file>

<file path=xl/ctrlProps/ctrlProp345.xml><?xml version="1.0" encoding="utf-8"?>
<formControlPr xmlns="http://schemas.microsoft.com/office/spreadsheetml/2009/9/main" objectType="Radio" lockText="1"/>
</file>

<file path=xl/ctrlProps/ctrlProp346.xml><?xml version="1.0" encoding="utf-8"?>
<formControlPr xmlns="http://schemas.microsoft.com/office/spreadsheetml/2009/9/main" objectType="Radio" lockText="1"/>
</file>

<file path=xl/ctrlProps/ctrlProp347.xml><?xml version="1.0" encoding="utf-8"?>
<formControlPr xmlns="http://schemas.microsoft.com/office/spreadsheetml/2009/9/main" objectType="Radio" lockText="1"/>
</file>

<file path=xl/ctrlProps/ctrlProp348.xml><?xml version="1.0" encoding="utf-8"?>
<formControlPr xmlns="http://schemas.microsoft.com/office/spreadsheetml/2009/9/main" objectType="Radio" lockText="1"/>
</file>

<file path=xl/ctrlProps/ctrlProp349.xml><?xml version="1.0" encoding="utf-8"?>
<formControlPr xmlns="http://schemas.microsoft.com/office/spreadsheetml/2009/9/main" objectType="Radio" lockText="1"/>
</file>

<file path=xl/ctrlProps/ctrlProp35.xml><?xml version="1.0" encoding="utf-8"?>
<formControlPr xmlns="http://schemas.microsoft.com/office/spreadsheetml/2009/9/main" objectType="CheckBox" fmlaLink="$BB$91" lockText="1"/>
</file>

<file path=xl/ctrlProps/ctrlProp350.xml><?xml version="1.0" encoding="utf-8"?>
<formControlPr xmlns="http://schemas.microsoft.com/office/spreadsheetml/2009/9/main" objectType="Radio" lockText="1"/>
</file>

<file path=xl/ctrlProps/ctrlProp351.xml><?xml version="1.0" encoding="utf-8"?>
<formControlPr xmlns="http://schemas.microsoft.com/office/spreadsheetml/2009/9/main" objectType="Radio" lockText="1"/>
</file>

<file path=xl/ctrlProps/ctrlProp352.xml><?xml version="1.0" encoding="utf-8"?>
<formControlPr xmlns="http://schemas.microsoft.com/office/spreadsheetml/2009/9/main" objectType="Radio" lockText="1"/>
</file>

<file path=xl/ctrlProps/ctrlProp353.xml><?xml version="1.0" encoding="utf-8"?>
<formControlPr xmlns="http://schemas.microsoft.com/office/spreadsheetml/2009/9/main" objectType="Radio" lockText="1"/>
</file>

<file path=xl/ctrlProps/ctrlProp354.xml><?xml version="1.0" encoding="utf-8"?>
<formControlPr xmlns="http://schemas.microsoft.com/office/spreadsheetml/2009/9/main" objectType="Radio" lockText="1"/>
</file>

<file path=xl/ctrlProps/ctrlProp355.xml><?xml version="1.0" encoding="utf-8"?>
<formControlPr xmlns="http://schemas.microsoft.com/office/spreadsheetml/2009/9/main" objectType="Radio" lockText="1"/>
</file>

<file path=xl/ctrlProps/ctrlProp356.xml><?xml version="1.0" encoding="utf-8"?>
<formControlPr xmlns="http://schemas.microsoft.com/office/spreadsheetml/2009/9/main" objectType="Radio" lockText="1"/>
</file>

<file path=xl/ctrlProps/ctrlProp357.xml><?xml version="1.0" encoding="utf-8"?>
<formControlPr xmlns="http://schemas.microsoft.com/office/spreadsheetml/2009/9/main" objectType="Radio" lockText="1"/>
</file>

<file path=xl/ctrlProps/ctrlProp358.xml><?xml version="1.0" encoding="utf-8"?>
<formControlPr xmlns="http://schemas.microsoft.com/office/spreadsheetml/2009/9/main" objectType="Radio" lockText="1"/>
</file>

<file path=xl/ctrlProps/ctrlProp359.xml><?xml version="1.0" encoding="utf-8"?>
<formControlPr xmlns="http://schemas.microsoft.com/office/spreadsheetml/2009/9/main" objectType="Radio" lockText="1"/>
</file>

<file path=xl/ctrlProps/ctrlProp36.xml><?xml version="1.0" encoding="utf-8"?>
<formControlPr xmlns="http://schemas.microsoft.com/office/spreadsheetml/2009/9/main" objectType="Radio" checked="Checked" firstButton="1" fmlaLink="$AV$94" lockText="1"/>
</file>

<file path=xl/ctrlProps/ctrlProp360.xml><?xml version="1.0" encoding="utf-8"?>
<formControlPr xmlns="http://schemas.microsoft.com/office/spreadsheetml/2009/9/main" objectType="Radio" firstButton="1" fmlaLink="$G$5" lockText="1"/>
</file>

<file path=xl/ctrlProps/ctrlProp361.xml><?xml version="1.0" encoding="utf-8"?>
<formControlPr xmlns="http://schemas.microsoft.com/office/spreadsheetml/2009/9/main" objectType="Radio" lockText="1"/>
</file>

<file path=xl/ctrlProps/ctrlProp362.xml><?xml version="1.0" encoding="utf-8"?>
<formControlPr xmlns="http://schemas.microsoft.com/office/spreadsheetml/2009/9/main" objectType="Radio" lockText="1"/>
</file>

<file path=xl/ctrlProps/ctrlProp363.xml><?xml version="1.0" encoding="utf-8"?>
<formControlPr xmlns="http://schemas.microsoft.com/office/spreadsheetml/2009/9/main" objectType="Radio" lockText="1"/>
</file>

<file path=xl/ctrlProps/ctrlProp364.xml><?xml version="1.0" encoding="utf-8"?>
<formControlPr xmlns="http://schemas.microsoft.com/office/spreadsheetml/2009/9/main" objectType="Radio" lockText="1"/>
</file>

<file path=xl/ctrlProps/ctrlProp365.xml><?xml version="1.0" encoding="utf-8"?>
<formControlPr xmlns="http://schemas.microsoft.com/office/spreadsheetml/2009/9/main" objectType="Radio" lockText="1"/>
</file>

<file path=xl/ctrlProps/ctrlProp366.xml><?xml version="1.0" encoding="utf-8"?>
<formControlPr xmlns="http://schemas.microsoft.com/office/spreadsheetml/2009/9/main" objectType="Radio" lockText="1"/>
</file>

<file path=xl/ctrlProps/ctrlProp367.xml><?xml version="1.0" encoding="utf-8"?>
<formControlPr xmlns="http://schemas.microsoft.com/office/spreadsheetml/2009/9/main" objectType="Radio" lockText="1"/>
</file>

<file path=xl/ctrlProps/ctrlProp368.xml><?xml version="1.0" encoding="utf-8"?>
<formControlPr xmlns="http://schemas.microsoft.com/office/spreadsheetml/2009/9/main" objectType="Radio" lockText="1"/>
</file>

<file path=xl/ctrlProps/ctrlProp369.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70.xml><?xml version="1.0" encoding="utf-8"?>
<formControlPr xmlns="http://schemas.microsoft.com/office/spreadsheetml/2009/9/main" objectType="Radio" lockText="1"/>
</file>

<file path=xl/ctrlProps/ctrlProp371.xml><?xml version="1.0" encoding="utf-8"?>
<formControlPr xmlns="http://schemas.microsoft.com/office/spreadsheetml/2009/9/main" objectType="Radio" lockText="1"/>
</file>

<file path=xl/ctrlProps/ctrlProp372.xml><?xml version="1.0" encoding="utf-8"?>
<formControlPr xmlns="http://schemas.microsoft.com/office/spreadsheetml/2009/9/main" objectType="Radio" lockText="1"/>
</file>

<file path=xl/ctrlProps/ctrlProp373.xml><?xml version="1.0" encoding="utf-8"?>
<formControlPr xmlns="http://schemas.microsoft.com/office/spreadsheetml/2009/9/main" objectType="Radio"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Radio" lockText="1"/>
</file>

<file path=xl/ctrlProps/ctrlProp379.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file>

<file path=xl/ctrlProps/ctrlProp381.xml><?xml version="1.0" encoding="utf-8"?>
<formControlPr xmlns="http://schemas.microsoft.com/office/spreadsheetml/2009/9/main" objectType="Radio" lockText="1"/>
</file>

<file path=xl/ctrlProps/ctrlProp382.xml><?xml version="1.0" encoding="utf-8"?>
<formControlPr xmlns="http://schemas.microsoft.com/office/spreadsheetml/2009/9/main" objectType="Radio" lockText="1"/>
</file>

<file path=xl/ctrlProps/ctrlProp383.xml><?xml version="1.0" encoding="utf-8"?>
<formControlPr xmlns="http://schemas.microsoft.com/office/spreadsheetml/2009/9/main" objectType="Radio" lockText="1"/>
</file>

<file path=xl/ctrlProps/ctrlProp384.xml><?xml version="1.0" encoding="utf-8"?>
<formControlPr xmlns="http://schemas.microsoft.com/office/spreadsheetml/2009/9/main" objectType="Radio" lockText="1"/>
</file>

<file path=xl/ctrlProps/ctrlProp385.xml><?xml version="1.0" encoding="utf-8"?>
<formControlPr xmlns="http://schemas.microsoft.com/office/spreadsheetml/2009/9/main" objectType="Radio" lockText="1"/>
</file>

<file path=xl/ctrlProps/ctrlProp386.xml><?xml version="1.0" encoding="utf-8"?>
<formControlPr xmlns="http://schemas.microsoft.com/office/spreadsheetml/2009/9/main" objectType="Radio" lockText="1"/>
</file>

<file path=xl/ctrlProps/ctrlProp387.xml><?xml version="1.0" encoding="utf-8"?>
<formControlPr xmlns="http://schemas.microsoft.com/office/spreadsheetml/2009/9/main" objectType="Radio" lockText="1"/>
</file>

<file path=xl/ctrlProps/ctrlProp388.xml><?xml version="1.0" encoding="utf-8"?>
<formControlPr xmlns="http://schemas.microsoft.com/office/spreadsheetml/2009/9/main" objectType="Radio" lockText="1"/>
</file>

<file path=xl/ctrlProps/ctrlProp389.xml><?xml version="1.0" encoding="utf-8"?>
<formControlPr xmlns="http://schemas.microsoft.com/office/spreadsheetml/2009/9/main" objectType="Radio" lockText="1"/>
</file>

<file path=xl/ctrlProps/ctrlProp39.xml><?xml version="1.0" encoding="utf-8"?>
<formControlPr xmlns="http://schemas.microsoft.com/office/spreadsheetml/2009/9/main" objectType="Radio" checked="Checked" firstButton="1" fmlaLink="$AV$96" lockText="1"/>
</file>

<file path=xl/ctrlProps/ctrlProp390.xml><?xml version="1.0" encoding="utf-8"?>
<formControlPr xmlns="http://schemas.microsoft.com/office/spreadsheetml/2009/9/main" objectType="Radio"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lockText="1"/>
</file>

<file path=xl/ctrlProps/ctrlProp397.xml><?xml version="1.0" encoding="utf-8"?>
<formControlPr xmlns="http://schemas.microsoft.com/office/spreadsheetml/2009/9/main" objectType="Radio" lockText="1"/>
</file>

<file path=xl/ctrlProps/ctrlProp398.xml><?xml version="1.0" encoding="utf-8"?>
<formControlPr xmlns="http://schemas.microsoft.com/office/spreadsheetml/2009/9/main" objectType="Radio" lockText="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Radio"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lockText="1"/>
</file>

<file path=xl/ctrlProps/ctrlProp402.xml><?xml version="1.0" encoding="utf-8"?>
<formControlPr xmlns="http://schemas.microsoft.com/office/spreadsheetml/2009/9/main" objectType="Radio"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Radio" lockText="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Radio"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Radio" lockText="1"/>
</file>

<file path=xl/ctrlProps/ctrlProp414.xml><?xml version="1.0" encoding="utf-8"?>
<formControlPr xmlns="http://schemas.microsoft.com/office/spreadsheetml/2009/9/main" objectType="Radio" lockText="1"/>
</file>

<file path=xl/ctrlProps/ctrlProp415.xml><?xml version="1.0" encoding="utf-8"?>
<formControlPr xmlns="http://schemas.microsoft.com/office/spreadsheetml/2009/9/main" objectType="Radio" lockText="1"/>
</file>

<file path=xl/ctrlProps/ctrlProp416.xml><?xml version="1.0" encoding="utf-8"?>
<formControlPr xmlns="http://schemas.microsoft.com/office/spreadsheetml/2009/9/main" objectType="Radio" lockText="1"/>
</file>

<file path=xl/ctrlProps/ctrlProp417.xml><?xml version="1.0" encoding="utf-8"?>
<formControlPr xmlns="http://schemas.microsoft.com/office/spreadsheetml/2009/9/main" objectType="Radio" lockText="1"/>
</file>

<file path=xl/ctrlProps/ctrlProp418.xml><?xml version="1.0" encoding="utf-8"?>
<formControlPr xmlns="http://schemas.microsoft.com/office/spreadsheetml/2009/9/main" objectType="Radio" lockText="1"/>
</file>

<file path=xl/ctrlProps/ctrlProp419.xml><?xml version="1.0" encoding="utf-8"?>
<formControlPr xmlns="http://schemas.microsoft.com/office/spreadsheetml/2009/9/main" objectType="Radio" lockText="1"/>
</file>

<file path=xl/ctrlProps/ctrlProp42.xml><?xml version="1.0" encoding="utf-8"?>
<formControlPr xmlns="http://schemas.microsoft.com/office/spreadsheetml/2009/9/main" objectType="Radio" checked="Checked" firstButton="1" fmlaLink="$AW$94" lockText="1"/>
</file>

<file path=xl/ctrlProps/ctrlProp420.xml><?xml version="1.0" encoding="utf-8"?>
<formControlPr xmlns="http://schemas.microsoft.com/office/spreadsheetml/2009/9/main" objectType="Radio"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checked="Checked"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30.xml><?xml version="1.0" encoding="utf-8"?>
<formControlPr xmlns="http://schemas.microsoft.com/office/spreadsheetml/2009/9/main" objectType="Radio" lockText="1"/>
</file>

<file path=xl/ctrlProps/ctrlProp431.xml><?xml version="1.0" encoding="utf-8"?>
<formControlPr xmlns="http://schemas.microsoft.com/office/spreadsheetml/2009/9/main" objectType="Radio"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Radio"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Radio"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Radio" checked="Checked" firstButton="1" fmlaLink="$AW$96" lockText="1"/>
</file>

<file path=xl/ctrlProps/ctrlProp440.xml><?xml version="1.0" encoding="utf-8"?>
<formControlPr xmlns="http://schemas.microsoft.com/office/spreadsheetml/2009/9/main" objectType="Radio" lockText="1"/>
</file>

<file path=xl/ctrlProps/ctrlProp441.xml><?xml version="1.0" encoding="utf-8"?>
<formControlPr xmlns="http://schemas.microsoft.com/office/spreadsheetml/2009/9/main" objectType="Radio" lockText="1"/>
</file>

<file path=xl/ctrlProps/ctrlProp442.xml><?xml version="1.0" encoding="utf-8"?>
<formControlPr xmlns="http://schemas.microsoft.com/office/spreadsheetml/2009/9/main" objectType="Radio" lockText="1"/>
</file>

<file path=xl/ctrlProps/ctrlProp443.xml><?xml version="1.0" encoding="utf-8"?>
<formControlPr xmlns="http://schemas.microsoft.com/office/spreadsheetml/2009/9/main" objectType="Radio" lockText="1"/>
</file>

<file path=xl/ctrlProps/ctrlProp444.xml><?xml version="1.0" encoding="utf-8"?>
<formControlPr xmlns="http://schemas.microsoft.com/office/spreadsheetml/2009/9/main" objectType="Radio"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50.xml><?xml version="1.0" encoding="utf-8"?>
<formControlPr xmlns="http://schemas.microsoft.com/office/spreadsheetml/2009/9/main" objectType="Radio" lockText="1"/>
</file>

<file path=xl/ctrlProps/ctrlProp451.xml><?xml version="1.0" encoding="utf-8"?>
<formControlPr xmlns="http://schemas.microsoft.com/office/spreadsheetml/2009/9/main" objectType="Radio" lockText="1"/>
</file>

<file path=xl/ctrlProps/ctrlProp452.xml><?xml version="1.0" encoding="utf-8"?>
<formControlPr xmlns="http://schemas.microsoft.com/office/spreadsheetml/2009/9/main" objectType="Radio" lockText="1"/>
</file>

<file path=xl/ctrlProps/ctrlProp453.xml><?xml version="1.0" encoding="utf-8"?>
<formControlPr xmlns="http://schemas.microsoft.com/office/spreadsheetml/2009/9/main" objectType="Radio" lockText="1"/>
</file>

<file path=xl/ctrlProps/ctrlProp454.xml><?xml version="1.0" encoding="utf-8"?>
<formControlPr xmlns="http://schemas.microsoft.com/office/spreadsheetml/2009/9/main" objectType="Radio" lockText="1"/>
</file>

<file path=xl/ctrlProps/ctrlProp455.xml><?xml version="1.0" encoding="utf-8"?>
<formControlPr xmlns="http://schemas.microsoft.com/office/spreadsheetml/2009/9/main" objectType="Radio" lockText="1"/>
</file>

<file path=xl/ctrlProps/ctrlProp456.xml><?xml version="1.0" encoding="utf-8"?>
<formControlPr xmlns="http://schemas.microsoft.com/office/spreadsheetml/2009/9/main" objectType="Radio" lockText="1"/>
</file>

<file path=xl/ctrlProps/ctrlProp457.xml><?xml version="1.0" encoding="utf-8"?>
<formControlPr xmlns="http://schemas.microsoft.com/office/spreadsheetml/2009/9/main" objectType="Radio" lockText="1"/>
</file>

<file path=xl/ctrlProps/ctrlProp458.xml><?xml version="1.0" encoding="utf-8"?>
<formControlPr xmlns="http://schemas.microsoft.com/office/spreadsheetml/2009/9/main" objectType="Radio"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Radio" checked="Checked" firstButton="1" fmlaLink="$AX$94" lockText="1"/>
</file>

<file path=xl/ctrlProps/ctrlProp460.xml><?xml version="1.0" encoding="utf-8"?>
<formControlPr xmlns="http://schemas.microsoft.com/office/spreadsheetml/2009/9/main" objectType="Radio" lockText="1"/>
</file>

<file path=xl/ctrlProps/ctrlProp461.xml><?xml version="1.0" encoding="utf-8"?>
<formControlPr xmlns="http://schemas.microsoft.com/office/spreadsheetml/2009/9/main" objectType="Radio"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Radio" lockText="1"/>
</file>

<file path=xl/ctrlProps/ctrlProp474.xml><?xml version="1.0" encoding="utf-8"?>
<formControlPr xmlns="http://schemas.microsoft.com/office/spreadsheetml/2009/9/main" objectType="Radio"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checked="Checked" firstButton="1" fmlaLink="$AX$96" lockText="1"/>
</file>

<file path=xl/ctrlProps/ctrlProp480.xml><?xml version="1.0" encoding="utf-8"?>
<formControlPr xmlns="http://schemas.microsoft.com/office/spreadsheetml/2009/9/main" objectType="Radio"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Radio" lockText="1"/>
</file>

<file path=xl/ctrlProps/ctrlProp485.xml><?xml version="1.0" encoding="utf-8"?>
<formControlPr xmlns="http://schemas.microsoft.com/office/spreadsheetml/2009/9/main" objectType="Radio" lockText="1"/>
</file>

<file path=xl/ctrlProps/ctrlProp486.xml><?xml version="1.0" encoding="utf-8"?>
<formControlPr xmlns="http://schemas.microsoft.com/office/spreadsheetml/2009/9/main" objectType="Radio" lockText="1"/>
</file>

<file path=xl/ctrlProps/ctrlProp487.xml><?xml version="1.0" encoding="utf-8"?>
<formControlPr xmlns="http://schemas.microsoft.com/office/spreadsheetml/2009/9/main" objectType="Radio" lockText="1"/>
</file>

<file path=xl/ctrlProps/ctrlProp488.xml><?xml version="1.0" encoding="utf-8"?>
<formControlPr xmlns="http://schemas.microsoft.com/office/spreadsheetml/2009/9/main" objectType="Radio" lockText="1"/>
</file>

<file path=xl/ctrlProps/ctrlProp489.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490.xml><?xml version="1.0" encoding="utf-8"?>
<formControlPr xmlns="http://schemas.microsoft.com/office/spreadsheetml/2009/9/main" objectType="Radio" lockText="1"/>
</file>

<file path=xl/ctrlProps/ctrlProp491.xml><?xml version="1.0" encoding="utf-8"?>
<formControlPr xmlns="http://schemas.microsoft.com/office/spreadsheetml/2009/9/main" objectType="Radio"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Radio" lockText="1"/>
</file>

<file path=xl/ctrlProps/ctrlProp495.xml><?xml version="1.0" encoding="utf-8"?>
<formControlPr xmlns="http://schemas.microsoft.com/office/spreadsheetml/2009/9/main" objectType="Radio"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firstButton="1" fmlaLink="$AV$48" lockText="1"/>
</file>

<file path=xl/ctrlProps/ctrlProp499.xml><?xml version="1.0" encoding="utf-8"?>
<formControlPr xmlns="http://schemas.microsoft.com/office/spreadsheetml/2009/9/main" objectType="Radio" lockText="1"/>
</file>

<file path=xl/ctrlProps/ctrlProp5.xml><?xml version="1.0" encoding="utf-8"?>
<formControlPr xmlns="http://schemas.microsoft.com/office/spreadsheetml/2009/9/main" objectType="Radio" checked="Checked" firstButton="1" fmlaLink="$AV$108" lockText="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CheckBox" fmlaLink="$AV$18" lockText="1"/>
</file>

<file path=xl/ctrlProps/ctrlProp502.xml><?xml version="1.0" encoding="utf-8"?>
<formControlPr xmlns="http://schemas.microsoft.com/office/spreadsheetml/2009/9/main" objectType="Radio" firstButton="1" fmlaLink="$AV$108" lockText="1"/>
</file>

<file path=xl/ctrlProps/ctrlProp503.xml><?xml version="1.0" encoding="utf-8"?>
<formControlPr xmlns="http://schemas.microsoft.com/office/spreadsheetml/2009/9/main" objectType="Radio" lockText="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Radio" firstButton="1" fmlaLink="$AV$105" lockText="1"/>
</file>

<file path=xl/ctrlProps/ctrlProp507.xml><?xml version="1.0" encoding="utf-8"?>
<formControlPr xmlns="http://schemas.microsoft.com/office/spreadsheetml/2009/9/main" objectType="Radio"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Radio" lockText="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CheckBox" fmlaLink="$AV$91" lockText="1"/>
</file>

<file path=xl/ctrlProps/ctrlProp512.xml><?xml version="1.0" encoding="utf-8"?>
<formControlPr xmlns="http://schemas.microsoft.com/office/spreadsheetml/2009/9/main" objectType="CheckBox" fmlaLink="$BA$91" lockText="1"/>
</file>

<file path=xl/ctrlProps/ctrlProp513.xml><?xml version="1.0" encoding="utf-8"?>
<formControlPr xmlns="http://schemas.microsoft.com/office/spreadsheetml/2009/9/main" objectType="CheckBox" fmlaLink="$BC$91" lockText="1"/>
</file>

<file path=xl/ctrlProps/ctrlProp514.xml><?xml version="1.0" encoding="utf-8"?>
<formControlPr xmlns="http://schemas.microsoft.com/office/spreadsheetml/2009/9/main" objectType="CheckBox" fmlaLink="$AY$91" lockText="1"/>
</file>

<file path=xl/ctrlProps/ctrlProp515.xml><?xml version="1.0" encoding="utf-8"?>
<formControlPr xmlns="http://schemas.microsoft.com/office/spreadsheetml/2009/9/main" objectType="Radio" firstButton="1" fmlaLink="$AV$104" lockText="1"/>
</file>

<file path=xl/ctrlProps/ctrlProp516.xml><?xml version="1.0" encoding="utf-8"?>
<formControlPr xmlns="http://schemas.microsoft.com/office/spreadsheetml/2009/9/main" objectType="Radio" lockText="1"/>
</file>

<file path=xl/ctrlProps/ctrlProp517.xml><?xml version="1.0" encoding="utf-8"?>
<formControlPr xmlns="http://schemas.microsoft.com/office/spreadsheetml/2009/9/main" objectType="Radio" lockText="1"/>
</file>

<file path=xl/ctrlProps/ctrlProp518.xml><?xml version="1.0" encoding="utf-8"?>
<formControlPr xmlns="http://schemas.microsoft.com/office/spreadsheetml/2009/9/main" objectType="Radio" lockText="1"/>
</file>

<file path=xl/ctrlProps/ctrlProp519.xml><?xml version="1.0" encoding="utf-8"?>
<formControlPr xmlns="http://schemas.microsoft.com/office/spreadsheetml/2009/9/main" objectType="Radio" lockText="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CheckBox" fmlaLink="$AV$69" lockText="1"/>
</file>

<file path=xl/ctrlProps/ctrlProp522.xml><?xml version="1.0" encoding="utf-8"?>
<formControlPr xmlns="http://schemas.microsoft.com/office/spreadsheetml/2009/9/main" objectType="CheckBox" fmlaLink="$AV$80" lockText="1"/>
</file>

<file path=xl/ctrlProps/ctrlProp523.xml><?xml version="1.0" encoding="utf-8"?>
<formControlPr xmlns="http://schemas.microsoft.com/office/spreadsheetml/2009/9/main" objectType="CheckBox" fmlaLink="$AX$80" lockText="1"/>
</file>

<file path=xl/ctrlProps/ctrlProp524.xml><?xml version="1.0" encoding="utf-8"?>
<formControlPr xmlns="http://schemas.microsoft.com/office/spreadsheetml/2009/9/main" objectType="CheckBox" fmlaLink="$AW$80" lockText="1"/>
</file>

<file path=xl/ctrlProps/ctrlProp525.xml><?xml version="1.0" encoding="utf-8"?>
<formControlPr xmlns="http://schemas.microsoft.com/office/spreadsheetml/2009/9/main" objectType="CheckBox" fmlaLink="$AY$80" lockText="1"/>
</file>

<file path=xl/ctrlProps/ctrlProp526.xml><?xml version="1.0" encoding="utf-8"?>
<formControlPr xmlns="http://schemas.microsoft.com/office/spreadsheetml/2009/9/main" objectType="CheckBox" fmlaLink="$AZ$80" lockText="1"/>
</file>

<file path=xl/ctrlProps/ctrlProp527.xml><?xml version="1.0" encoding="utf-8"?>
<formControlPr xmlns="http://schemas.microsoft.com/office/spreadsheetml/2009/9/main" objectType="CheckBox" fmlaLink="$BA$80" lockText="1"/>
</file>

<file path=xl/ctrlProps/ctrlProp528.xml><?xml version="1.0" encoding="utf-8"?>
<formControlPr xmlns="http://schemas.microsoft.com/office/spreadsheetml/2009/9/main" objectType="CheckBox" fmlaLink="$BB$80" lockText="1"/>
</file>

<file path=xl/ctrlProps/ctrlProp529.xml><?xml version="1.0" encoding="utf-8"?>
<formControlPr xmlns="http://schemas.microsoft.com/office/spreadsheetml/2009/9/main" objectType="CheckBox" fmlaLink="$BC$80"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CheckBox" fmlaLink="$AZ$91" lockText="1"/>
</file>

<file path=xl/ctrlProps/ctrlProp532.xml><?xml version="1.0" encoding="utf-8"?>
<formControlPr xmlns="http://schemas.microsoft.com/office/spreadsheetml/2009/9/main" objectType="CheckBox" fmlaLink="$BB$91" lockText="1"/>
</file>

<file path=xl/ctrlProps/ctrlProp533.xml><?xml version="1.0" encoding="utf-8"?>
<formControlPr xmlns="http://schemas.microsoft.com/office/spreadsheetml/2009/9/main" objectType="Radio" checked="Checked" firstButton="1" fmlaLink="$AV$94" lockText="1"/>
</file>

<file path=xl/ctrlProps/ctrlProp534.xml><?xml version="1.0" encoding="utf-8"?>
<formControlPr xmlns="http://schemas.microsoft.com/office/spreadsheetml/2009/9/main" objectType="Radio"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AV$96"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checked="Checked" firstButton="1" fmlaLink="$AW$94" lockText="1"/>
</file>

<file path=xl/ctrlProps/ctrlProp54.xml><?xml version="1.0" encoding="utf-8"?>
<formControlPr xmlns="http://schemas.microsoft.com/office/spreadsheetml/2009/9/main" objectType="Radio" checked="Checked" firstButton="1" fmlaLink="$AV$21" lockText="1"/>
</file>

<file path=xl/ctrlProps/ctrlProp540.xml><?xml version="1.0" encoding="utf-8"?>
<formControlPr xmlns="http://schemas.microsoft.com/office/spreadsheetml/2009/9/main" objectType="Radio" lockText="1"/>
</file>

<file path=xl/ctrlProps/ctrlProp541.xml><?xml version="1.0" encoding="utf-8"?>
<formControlPr xmlns="http://schemas.microsoft.com/office/spreadsheetml/2009/9/main" objectType="Radio" checked="Checked" firstButton="1" fmlaLink="$AW$96"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checked="Checked" firstButton="1" fmlaLink="$AX$94"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checked="Checked" firstButton="1" fmlaLink="$AX$96"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Radio" firstButton="1" fmlaLink="$AV$21" lockText="1"/>
</file>

<file path=xl/ctrlProps/ctrlProp552.xml><?xml version="1.0" encoding="utf-8"?>
<formControlPr xmlns="http://schemas.microsoft.com/office/spreadsheetml/2009/9/main" objectType="Radio" lockText="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Radio" firstButton="1" fmlaLink="$AV$128" lockText="1"/>
</file>

<file path=xl/ctrlProps/ctrlProp555.xml><?xml version="1.0" encoding="utf-8"?>
<formControlPr xmlns="http://schemas.microsoft.com/office/spreadsheetml/2009/9/main" objectType="Radio" lockText="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AV$12"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Radio" checked="Checked" firstButton="1" fmlaLink="$AV$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CheckBox" fmlaLink="$AV$21" lockText="1"/>
</file>

<file path=xl/ctrlProps/ctrlProp564.xml><?xml version="1.0" encoding="utf-8"?>
<formControlPr xmlns="http://schemas.microsoft.com/office/spreadsheetml/2009/9/main" objectType="CheckBox" fmlaLink="$AV$22" lockText="1"/>
</file>

<file path=xl/ctrlProps/ctrlProp565.xml><?xml version="1.0" encoding="utf-8"?>
<formControlPr xmlns="http://schemas.microsoft.com/office/spreadsheetml/2009/9/main" objectType="CheckBox" fmlaLink="$AV$23" lockText="1"/>
</file>

<file path=xl/ctrlProps/ctrlProp566.xml><?xml version="1.0" encoding="utf-8"?>
<formControlPr xmlns="http://schemas.microsoft.com/office/spreadsheetml/2009/9/main" objectType="CheckBox" fmlaLink="$AV$20" lockText="1"/>
</file>

<file path=xl/ctrlProps/ctrlProp567.xml><?xml version="1.0" encoding="utf-8"?>
<formControlPr xmlns="http://schemas.microsoft.com/office/spreadsheetml/2009/9/main" objectType="CheckBox" fmlaLink="$AV$18" lockText="1"/>
</file>

<file path=xl/ctrlProps/ctrlProp568.xml><?xml version="1.0" encoding="utf-8"?>
<formControlPr xmlns="http://schemas.microsoft.com/office/spreadsheetml/2009/9/main" objectType="CheckBox" fmlaLink="$AV$29" lockText="1"/>
</file>

<file path=xl/ctrlProps/ctrlProp569.xml><?xml version="1.0" encoding="utf-8"?>
<formControlPr xmlns="http://schemas.microsoft.com/office/spreadsheetml/2009/9/main" objectType="CheckBox" fmlaLink="$AV$30" lockText="1"/>
</file>

<file path=xl/ctrlProps/ctrlProp57.xml><?xml version="1.0" encoding="utf-8"?>
<formControlPr xmlns="http://schemas.microsoft.com/office/spreadsheetml/2009/9/main" objectType="Radio" checked="Checked" firstButton="1" lockText="1"/>
</file>

<file path=xl/ctrlProps/ctrlProp570.xml><?xml version="1.0" encoding="utf-8"?>
<formControlPr xmlns="http://schemas.microsoft.com/office/spreadsheetml/2009/9/main" objectType="CheckBox" fmlaLink="$AV$31" lockText="1"/>
</file>

<file path=xl/ctrlProps/ctrlProp571.xml><?xml version="1.0" encoding="utf-8"?>
<formControlPr xmlns="http://schemas.microsoft.com/office/spreadsheetml/2009/9/main" objectType="CheckBox" fmlaLink="$AV$32" lockText="1"/>
</file>

<file path=xl/ctrlProps/ctrlProp572.xml><?xml version="1.0" encoding="utf-8"?>
<formControlPr xmlns="http://schemas.microsoft.com/office/spreadsheetml/2009/9/main" objectType="CheckBox" fmlaLink="$AV$33" lockText="1"/>
</file>

<file path=xl/ctrlProps/ctrlProp573.xml><?xml version="1.0" encoding="utf-8"?>
<formControlPr xmlns="http://schemas.microsoft.com/office/spreadsheetml/2009/9/main" objectType="CheckBox" fmlaLink="$AV$17" lockText="1"/>
</file>

<file path=xl/ctrlProps/ctrlProp574.xml><?xml version="1.0" encoding="utf-8"?>
<formControlPr xmlns="http://schemas.microsoft.com/office/spreadsheetml/2009/9/main" objectType="CheckBox" fmlaLink="$AV$44" lockText="1"/>
</file>

<file path=xl/ctrlProps/ctrlProp575.xml><?xml version="1.0" encoding="utf-8"?>
<formControlPr xmlns="http://schemas.microsoft.com/office/spreadsheetml/2009/9/main" objectType="CheckBox" fmlaLink="$AV$45" lockText="1"/>
</file>

<file path=xl/ctrlProps/ctrlProp576.xml><?xml version="1.0" encoding="utf-8"?>
<formControlPr xmlns="http://schemas.microsoft.com/office/spreadsheetml/2009/9/main" objectType="CheckBox" fmlaLink="$AV$47" lockText="1"/>
</file>

<file path=xl/ctrlProps/ctrlProp577.xml><?xml version="1.0" encoding="utf-8"?>
<formControlPr xmlns="http://schemas.microsoft.com/office/spreadsheetml/2009/9/main" objectType="CheckBox" fmlaLink="$AV$50" lockText="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AW$72" lockText="1"/>
</file>

<file path=xl/ctrlProps/ctrlProp58.xml><?xml version="1.0" encoding="utf-8"?>
<formControlPr xmlns="http://schemas.microsoft.com/office/spreadsheetml/2009/9/main" objectType="Radio" lockText="1"/>
</file>

<file path=xl/ctrlProps/ctrlProp580.xml><?xml version="1.0" encoding="utf-8"?>
<formControlPr xmlns="http://schemas.microsoft.com/office/spreadsheetml/2009/9/main" objectType="Radio"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AV$60" lockText="1"/>
</file>

<file path=xl/ctrlProps/ctrlProp583.xml><?xml version="1.0" encoding="utf-8"?>
<formControlPr xmlns="http://schemas.microsoft.com/office/spreadsheetml/2009/9/main" objectType="CheckBox" fmlaLink="$AV$64" lockText="1"/>
</file>

<file path=xl/ctrlProps/ctrlProp584.xml><?xml version="1.0" encoding="utf-8"?>
<formControlPr xmlns="http://schemas.microsoft.com/office/spreadsheetml/2009/9/main" objectType="CheckBox" fmlaLink="$AV$65" lockText="1"/>
</file>

<file path=xl/ctrlProps/ctrlProp585.xml><?xml version="1.0" encoding="utf-8"?>
<formControlPr xmlns="http://schemas.microsoft.com/office/spreadsheetml/2009/9/main" objectType="CheckBox" fmlaLink="$AV$71" lockText="1"/>
</file>

<file path=xl/ctrlProps/ctrlProp586.xml><?xml version="1.0" encoding="utf-8"?>
<formControlPr xmlns="http://schemas.microsoft.com/office/spreadsheetml/2009/9/main" objectType="CheckBox" fmlaLink="$AV$75" lockText="1"/>
</file>

<file path=xl/ctrlProps/ctrlProp587.xml><?xml version="1.0" encoding="utf-8"?>
<formControlPr xmlns="http://schemas.microsoft.com/office/spreadsheetml/2009/9/main" objectType="CheckBox" fmlaLink="$AV$78" lockText="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AV$63" lockText="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Radio" lockText="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AW$66" lockText="1"/>
</file>

<file path=xl/ctrlProps/ctrlProp593.xml><?xml version="1.0" encoding="utf-8"?>
<formControlPr xmlns="http://schemas.microsoft.com/office/spreadsheetml/2009/9/main" objectType="Radio" lockText="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Radio" checked="Checked" firstButton="1" fmlaLink="$AV$82" lockText="1"/>
</file>

<file path=xl/ctrlProps/ctrlProp597.xml><?xml version="1.0" encoding="utf-8"?>
<formControlPr xmlns="http://schemas.microsoft.com/office/spreadsheetml/2009/9/main" objectType="Radio"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AV$150"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checked="Checked" firstButton="1" fmlaLink="$AV$128"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checked="Checked" firstButton="1" fmlaLink="$AV$154"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AV$156" lockText="1"/>
</file>

<file path=xl/ctrlProps/ctrlProp607.xml><?xml version="1.0" encoding="utf-8"?>
<formControlPr xmlns="http://schemas.microsoft.com/office/spreadsheetml/2009/9/main" objectType="Radio" lockText="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Radio" firstButton="1" fmlaLink="$AW$156" lockText="1"/>
</file>

<file path=xl/ctrlProps/ctrlProp61.xml><?xml version="1.0" encoding="utf-8"?>
<formControlPr xmlns="http://schemas.microsoft.com/office/spreadsheetml/2009/9/main" objectType="Radio" lockText="1"/>
</file>

<file path=xl/ctrlProps/ctrlProp610.xml><?xml version="1.0" encoding="utf-8"?>
<formControlPr xmlns="http://schemas.microsoft.com/office/spreadsheetml/2009/9/main" objectType="Radio" lockText="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fmlaLink="$AV$157"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AV$158" lockText="1"/>
</file>

<file path=xl/ctrlProps/ctrlProp617.xml><?xml version="1.0" encoding="utf-8"?>
<formControlPr xmlns="http://schemas.microsoft.com/office/spreadsheetml/2009/9/main" objectType="Radio" checked="Checked" lockText="1"/>
</file>

<file path=xl/ctrlProps/ctrlProp618.xml><?xml version="1.0" encoding="utf-8"?>
<formControlPr xmlns="http://schemas.microsoft.com/office/spreadsheetml/2009/9/main" objectType="Radio" lockText="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firstButton="1" fmlaLink="$AV$84"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Radio" checked="Checked" lockText="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checked="Checked" firstButton="1" fmlaLink="$AV$87" lockText="1"/>
</file>

<file path=xl/ctrlProps/ctrlProp625.xml><?xml version="1.0" encoding="utf-8"?>
<formControlPr xmlns="http://schemas.microsoft.com/office/spreadsheetml/2009/9/main" objectType="Radio" lockText="1"/>
</file>

<file path=xl/ctrlProps/ctrlProp626.xml><?xml version="1.0" encoding="utf-8"?>
<formControlPr xmlns="http://schemas.microsoft.com/office/spreadsheetml/2009/9/main" objectType="CheckBox" fmlaLink="$AV$175" lockText="1"/>
</file>

<file path=xl/ctrlProps/ctrlProp627.xml><?xml version="1.0" encoding="utf-8"?>
<formControlPr xmlns="http://schemas.microsoft.com/office/spreadsheetml/2009/9/main" objectType="Radio" firstButton="1" fmlaLink="$BA$79" lockText="1"/>
</file>

<file path=xl/ctrlProps/ctrlProp628.xml><?xml version="1.0" encoding="utf-8"?>
<formControlPr xmlns="http://schemas.microsoft.com/office/spreadsheetml/2009/9/main" objectType="Radio" lockText="1"/>
</file>

<file path=xl/ctrlProps/ctrlProp629.xml><?xml version="1.0" encoding="utf-8"?>
<formControlPr xmlns="http://schemas.microsoft.com/office/spreadsheetml/2009/9/main" objectType="CheckBox" fmlaLink="$AV$89" lockText="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checked="Checked" firstButton="1" fmlaLink="$AV$159" lockText="1"/>
</file>

<file path=xl/ctrlProps/ctrlProp632.xml><?xml version="1.0" encoding="utf-8"?>
<formControlPr xmlns="http://schemas.microsoft.com/office/spreadsheetml/2009/9/main" objectType="Radio" lockText="1"/>
</file>

<file path=xl/ctrlProps/ctrlProp633.xml><?xml version="1.0" encoding="utf-8"?>
<formControlPr xmlns="http://schemas.microsoft.com/office/spreadsheetml/2009/9/main" objectType="CheckBox" fmlaLink="$AV$34" lockText="1"/>
</file>

<file path=xl/ctrlProps/ctrlProp634.xml><?xml version="1.0" encoding="utf-8"?>
<formControlPr xmlns="http://schemas.microsoft.com/office/spreadsheetml/2009/9/main" objectType="CheckBox" fmlaLink="$AV$80" lockText="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CheckBox" fmlaLink="$AV$182" lockText="1"/>
</file>

<file path=xl/ctrlProps/ctrlProp637.xml><?xml version="1.0" encoding="utf-8"?>
<formControlPr xmlns="http://schemas.microsoft.com/office/spreadsheetml/2009/9/main" objectType="CheckBox" checked="Checked" fmlaLink="$AV$189" lockText="1"/>
</file>

<file path=xl/ctrlProps/ctrlProp638.xml><?xml version="1.0" encoding="utf-8"?>
<formControlPr xmlns="http://schemas.microsoft.com/office/spreadsheetml/2009/9/main" objectType="CheckBox" checked="Checked" fmlaLink="$AV$191" lockText="1"/>
</file>

<file path=xl/ctrlProps/ctrlProp639.xml><?xml version="1.0" encoding="utf-8"?>
<formControlPr xmlns="http://schemas.microsoft.com/office/spreadsheetml/2009/9/main" objectType="Radio" firstButton="1" fmlaLink="$G$5" lockText="1"/>
</file>

<file path=xl/ctrlProps/ctrlProp64.xml><?xml version="1.0" encoding="utf-8"?>
<formControlPr xmlns="http://schemas.microsoft.com/office/spreadsheetml/2009/9/main" objectType="Radio" checked="Checked" firstButton="1" fmlaLink="$AV$12"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lockText="1"/>
</file>

<file path=xl/ctrlProps/ctrlProp644.xml><?xml version="1.0" encoding="utf-8"?>
<formControlPr xmlns="http://schemas.microsoft.com/office/spreadsheetml/2009/9/main" objectType="Radio" lockText="1"/>
</file>

<file path=xl/ctrlProps/ctrlProp645.xml><?xml version="1.0" encoding="utf-8"?>
<formControlPr xmlns="http://schemas.microsoft.com/office/spreadsheetml/2009/9/main" objectType="Radio" lockText="1"/>
</file>

<file path=xl/ctrlProps/ctrlProp646.xml><?xml version="1.0" encoding="utf-8"?>
<formControlPr xmlns="http://schemas.microsoft.com/office/spreadsheetml/2009/9/main" objectType="Radio" lockText="1"/>
</file>

<file path=xl/ctrlProps/ctrlProp647.xml><?xml version="1.0" encoding="utf-8"?>
<formControlPr xmlns="http://schemas.microsoft.com/office/spreadsheetml/2009/9/main" objectType="Radio" lockText="1"/>
</file>

<file path=xl/ctrlProps/ctrlProp648.xml><?xml version="1.0" encoding="utf-8"?>
<formControlPr xmlns="http://schemas.microsoft.com/office/spreadsheetml/2009/9/main" objectType="Radio" lockText="1"/>
</file>

<file path=xl/ctrlProps/ctrlProp649.xml><?xml version="1.0" encoding="utf-8"?>
<formControlPr xmlns="http://schemas.microsoft.com/office/spreadsheetml/2009/9/main" objectType="Radio" lockText="1"/>
</file>

<file path=xl/ctrlProps/ctrlProp65.xml><?xml version="1.0" encoding="utf-8"?>
<formControlPr xmlns="http://schemas.microsoft.com/office/spreadsheetml/2009/9/main" objectType="Radio" firstButton="1" lockText="1"/>
</file>

<file path=xl/ctrlProps/ctrlProp650.xml><?xml version="1.0" encoding="utf-8"?>
<formControlPr xmlns="http://schemas.microsoft.com/office/spreadsheetml/2009/9/main" objectType="Radio" lockText="1"/>
</file>

<file path=xl/ctrlProps/ctrlProp651.xml><?xml version="1.0" encoding="utf-8"?>
<formControlPr xmlns="http://schemas.microsoft.com/office/spreadsheetml/2009/9/main" objectType="Radio"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Radio" lockText="1"/>
</file>

<file path=xl/ctrlProps/ctrlProp654.xml><?xml version="1.0" encoding="utf-8"?>
<formControlPr xmlns="http://schemas.microsoft.com/office/spreadsheetml/2009/9/main" objectType="Radio" lockText="1"/>
</file>

<file path=xl/ctrlProps/ctrlProp655.xml><?xml version="1.0" encoding="utf-8"?>
<formControlPr xmlns="http://schemas.microsoft.com/office/spreadsheetml/2009/9/main" objectType="Radio" lockText="1"/>
</file>

<file path=xl/ctrlProps/ctrlProp656.xml><?xml version="1.0" encoding="utf-8"?>
<formControlPr xmlns="http://schemas.microsoft.com/office/spreadsheetml/2009/9/main" objectType="Radio"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Radio" lockText="1"/>
</file>

<file path=xl/ctrlProps/ctrlProp66.xml><?xml version="1.0" encoding="utf-8"?>
<formControlPr xmlns="http://schemas.microsoft.com/office/spreadsheetml/2009/9/main" objectType="CheckBox" fmlaLink="$AV$21" lockText="1"/>
</file>

<file path=xl/ctrlProps/ctrlProp660.xml><?xml version="1.0" encoding="utf-8"?>
<formControlPr xmlns="http://schemas.microsoft.com/office/spreadsheetml/2009/9/main" objectType="Radio"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Radio" lockText="1"/>
</file>

<file path=xl/ctrlProps/ctrlProp664.xml><?xml version="1.0" encoding="utf-8"?>
<formControlPr xmlns="http://schemas.microsoft.com/office/spreadsheetml/2009/9/main" objectType="Radio" lockText="1"/>
</file>

<file path=xl/ctrlProps/ctrlProp665.xml><?xml version="1.0" encoding="utf-8"?>
<formControlPr xmlns="http://schemas.microsoft.com/office/spreadsheetml/2009/9/main" objectType="Radio" lockText="1"/>
</file>

<file path=xl/ctrlProps/ctrlProp666.xml><?xml version="1.0" encoding="utf-8"?>
<formControlPr xmlns="http://schemas.microsoft.com/office/spreadsheetml/2009/9/main" objectType="Radio" lockText="1"/>
</file>

<file path=xl/ctrlProps/ctrlProp667.xml><?xml version="1.0" encoding="utf-8"?>
<formControlPr xmlns="http://schemas.microsoft.com/office/spreadsheetml/2009/9/main" objectType="Radio" lockText="1"/>
</file>

<file path=xl/ctrlProps/ctrlProp668.xml><?xml version="1.0" encoding="utf-8"?>
<formControlPr xmlns="http://schemas.microsoft.com/office/spreadsheetml/2009/9/main" objectType="Radio" lockText="1"/>
</file>

<file path=xl/ctrlProps/ctrlProp669.xml><?xml version="1.0" encoding="utf-8"?>
<formControlPr xmlns="http://schemas.microsoft.com/office/spreadsheetml/2009/9/main" objectType="Radio" lockText="1"/>
</file>

<file path=xl/ctrlProps/ctrlProp67.xml><?xml version="1.0" encoding="utf-8"?>
<formControlPr xmlns="http://schemas.microsoft.com/office/spreadsheetml/2009/9/main" objectType="CheckBox" fmlaLink="$AV$22" lockText="1"/>
</file>

<file path=xl/ctrlProps/ctrlProp670.xml><?xml version="1.0" encoding="utf-8"?>
<formControlPr xmlns="http://schemas.microsoft.com/office/spreadsheetml/2009/9/main" objectType="Radio" lockText="1"/>
</file>

<file path=xl/ctrlProps/ctrlProp671.xml><?xml version="1.0" encoding="utf-8"?>
<formControlPr xmlns="http://schemas.microsoft.com/office/spreadsheetml/2009/9/main" objectType="Radio" lockText="1"/>
</file>

<file path=xl/ctrlProps/ctrlProp672.xml><?xml version="1.0" encoding="utf-8"?>
<formControlPr xmlns="http://schemas.microsoft.com/office/spreadsheetml/2009/9/main" objectType="Radio" lockText="1"/>
</file>

<file path=xl/ctrlProps/ctrlProp673.xml><?xml version="1.0" encoding="utf-8"?>
<formControlPr xmlns="http://schemas.microsoft.com/office/spreadsheetml/2009/9/main" objectType="Radio"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lockText="1"/>
</file>

<file path=xl/ctrlProps/ctrlProp676.xml><?xml version="1.0" encoding="utf-8"?>
<formControlPr xmlns="http://schemas.microsoft.com/office/spreadsheetml/2009/9/main" objectType="Radio"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AV$23" lockText="1"/>
</file>

<file path=xl/ctrlProps/ctrlProp680.xml><?xml version="1.0" encoding="utf-8"?>
<formControlPr xmlns="http://schemas.microsoft.com/office/spreadsheetml/2009/9/main" objectType="Radio" lockText="1"/>
</file>

<file path=xl/ctrlProps/ctrlProp681.xml><?xml version="1.0" encoding="utf-8"?>
<formControlPr xmlns="http://schemas.microsoft.com/office/spreadsheetml/2009/9/main" objectType="Radio" lockText="1"/>
</file>

<file path=xl/ctrlProps/ctrlProp682.xml><?xml version="1.0" encoding="utf-8"?>
<formControlPr xmlns="http://schemas.microsoft.com/office/spreadsheetml/2009/9/main" objectType="Radio" lockText="1"/>
</file>

<file path=xl/ctrlProps/ctrlProp683.xml><?xml version="1.0" encoding="utf-8"?>
<formControlPr xmlns="http://schemas.microsoft.com/office/spreadsheetml/2009/9/main" objectType="Radio" lockText="1"/>
</file>

<file path=xl/ctrlProps/ctrlProp684.xml><?xml version="1.0" encoding="utf-8"?>
<formControlPr xmlns="http://schemas.microsoft.com/office/spreadsheetml/2009/9/main" objectType="Radio"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Radio" lockText="1"/>
</file>

<file path=xl/ctrlProps/ctrlProp69.xml><?xml version="1.0" encoding="utf-8"?>
<formControlPr xmlns="http://schemas.microsoft.com/office/spreadsheetml/2009/9/main" objectType="CheckBox" fmlaLink="$AV$20" lockText="1"/>
</file>

<file path=xl/ctrlProps/ctrlProp690.xml><?xml version="1.0" encoding="utf-8"?>
<formControlPr xmlns="http://schemas.microsoft.com/office/spreadsheetml/2009/9/main" objectType="Radio"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Radio" lockText="1"/>
</file>

<file path=xl/ctrlProps/ctrlProp696.xml><?xml version="1.0" encoding="utf-8"?>
<formControlPr xmlns="http://schemas.microsoft.com/office/spreadsheetml/2009/9/main" objectType="Radio"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checked="Checked" fmlaLink="$AV$18"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Radio" lockText="1"/>
</file>

<file path=xl/ctrlProps/ctrlProp702.xml><?xml version="1.0" encoding="utf-8"?>
<formControlPr xmlns="http://schemas.microsoft.com/office/spreadsheetml/2009/9/main" objectType="Radio"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Radio" lockText="1"/>
</file>

<file path=xl/ctrlProps/ctrlProp708.xml><?xml version="1.0" encoding="utf-8"?>
<formControlPr xmlns="http://schemas.microsoft.com/office/spreadsheetml/2009/9/main" objectType="Radio"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checked="Checked" fmlaLink="$AV$29"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Radio" lockText="1"/>
</file>

<file path=xl/ctrlProps/ctrlProp714.xml><?xml version="1.0" encoding="utf-8"?>
<formControlPr xmlns="http://schemas.microsoft.com/office/spreadsheetml/2009/9/main" objectType="Radio"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Radio" lockText="1"/>
</file>

<file path=xl/ctrlProps/ctrlProp72.xml><?xml version="1.0" encoding="utf-8"?>
<formControlPr xmlns="http://schemas.microsoft.com/office/spreadsheetml/2009/9/main" objectType="CheckBox" checked="Checked" fmlaLink="$AV$30" lockText="1"/>
</file>

<file path=xl/ctrlProps/ctrlProp720.xml><?xml version="1.0" encoding="utf-8"?>
<formControlPr xmlns="http://schemas.microsoft.com/office/spreadsheetml/2009/9/main" objectType="Radio" lockText="1"/>
</file>

<file path=xl/ctrlProps/ctrlProp721.xml><?xml version="1.0" encoding="utf-8"?>
<formControlPr xmlns="http://schemas.microsoft.com/office/spreadsheetml/2009/9/main" objectType="Radio" lockText="1"/>
</file>

<file path=xl/ctrlProps/ctrlProp722.xml><?xml version="1.0" encoding="utf-8"?>
<formControlPr xmlns="http://schemas.microsoft.com/office/spreadsheetml/2009/9/main" objectType="Radio" lockText="1"/>
</file>

<file path=xl/ctrlProps/ctrlProp723.xml><?xml version="1.0" encoding="utf-8"?>
<formControlPr xmlns="http://schemas.microsoft.com/office/spreadsheetml/2009/9/main" objectType="Radio"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Radio" lockText="1"/>
</file>

<file path=xl/ctrlProps/ctrlProp729.xml><?xml version="1.0" encoding="utf-8"?>
<formControlPr xmlns="http://schemas.microsoft.com/office/spreadsheetml/2009/9/main" objectType="Radio" firstButton="1" fmlaLink="$G$5" lockText="1"/>
</file>

<file path=xl/ctrlProps/ctrlProp73.xml><?xml version="1.0" encoding="utf-8"?>
<formControlPr xmlns="http://schemas.microsoft.com/office/spreadsheetml/2009/9/main" objectType="CheckBox" checked="Checked" fmlaLink="$AV$31"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Radio" lockText="1"/>
</file>

<file path=xl/ctrlProps/ctrlProp735.xml><?xml version="1.0" encoding="utf-8"?>
<formControlPr xmlns="http://schemas.microsoft.com/office/spreadsheetml/2009/9/main" objectType="Radio" lockText="1"/>
</file>

<file path=xl/ctrlProps/ctrlProp736.xml><?xml version="1.0" encoding="utf-8"?>
<formControlPr xmlns="http://schemas.microsoft.com/office/spreadsheetml/2009/9/main" objectType="Radio" lockText="1"/>
</file>

<file path=xl/ctrlProps/ctrlProp737.xml><?xml version="1.0" encoding="utf-8"?>
<formControlPr xmlns="http://schemas.microsoft.com/office/spreadsheetml/2009/9/main" objectType="Radio" lockText="1"/>
</file>

<file path=xl/ctrlProps/ctrlProp738.xml><?xml version="1.0" encoding="utf-8"?>
<formControlPr xmlns="http://schemas.microsoft.com/office/spreadsheetml/2009/9/main" objectType="Radio"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checked="Checked" fmlaLink="$AV$32"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Radio" lockText="1"/>
</file>

<file path=xl/ctrlProps/ctrlProp747.xml><?xml version="1.0" encoding="utf-8"?>
<formControlPr xmlns="http://schemas.microsoft.com/office/spreadsheetml/2009/9/main" objectType="Radio" lockText="1"/>
</file>

<file path=xl/ctrlProps/ctrlProp748.xml><?xml version="1.0" encoding="utf-8"?>
<formControlPr xmlns="http://schemas.microsoft.com/office/spreadsheetml/2009/9/main" objectType="Radio" lockText="1"/>
</file>

<file path=xl/ctrlProps/ctrlProp749.xml><?xml version="1.0" encoding="utf-8"?>
<formControlPr xmlns="http://schemas.microsoft.com/office/spreadsheetml/2009/9/main" objectType="Radio" lockText="1"/>
</file>

<file path=xl/ctrlProps/ctrlProp75.xml><?xml version="1.0" encoding="utf-8"?>
<formControlPr xmlns="http://schemas.microsoft.com/office/spreadsheetml/2009/9/main" objectType="CheckBox" checked="Checked" fmlaLink="$AV$33" lockText="1"/>
</file>

<file path=xl/ctrlProps/ctrlProp750.xml><?xml version="1.0" encoding="utf-8"?>
<formControlPr xmlns="http://schemas.microsoft.com/office/spreadsheetml/2009/9/main" objectType="Radio"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Radio"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Radio"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Radio"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Radio"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Radio" lockText="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checked="Checked" fmlaLink="$AV$18"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lockText="1"/>
</file>

<file path=xl/ctrlProps/ctrlProp803.xml><?xml version="1.0" encoding="utf-8"?>
<formControlPr xmlns="http://schemas.microsoft.com/office/spreadsheetml/2009/9/main" objectType="Radio" lockText="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checked="Checked" fmlaLink="$AV$17" lockText="1"/>
</file>

<file path=xl/ctrlProps/ctrlProp810.xml><?xml version="1.0" encoding="utf-8"?>
<formControlPr xmlns="http://schemas.microsoft.com/office/spreadsheetml/2009/9/main" objectType="Radio" lockText="1"/>
</file>

<file path=xl/ctrlProps/ctrlProp811.xml><?xml version="1.0" encoding="utf-8"?>
<formControlPr xmlns="http://schemas.microsoft.com/office/spreadsheetml/2009/9/main" objectType="Radio"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Radio" lockText="1"/>
</file>

<file path=xl/ctrlProps/ctrlProp816.xml><?xml version="1.0" encoding="utf-8"?>
<formControlPr xmlns="http://schemas.microsoft.com/office/spreadsheetml/2009/9/main" objectType="Radio"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Radio"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Radio"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firstButton="1" fmlaLink="$G$5" lockText="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CheckBox" checked="Checked" fmlaLink="$AV$3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CheckBox" checked="Checked" fmlaLink="$AV$50"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CheckBox" checked="Checked" fmlaLink="$AV$50" lockText="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Radio"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CheckBox" checked="Checked" fmlaLink="$AV$50"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Radio" lockText="1"/>
</file>

<file path=xl/ctrlProps/ctrlProp89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rstButton="1" fmlaLink="$AV$105" lockText="1"/>
</file>

<file path=xl/ctrlProps/ctrlProp90.xml><?xml version="1.0" encoding="utf-8"?>
<formControlPr xmlns="http://schemas.microsoft.com/office/spreadsheetml/2009/9/main" objectType="CheckBox" checked="Checked" fmlaLink="$AV$50"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Radio"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checked="Checked" fmlaLink="$AV$50"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Radio"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checked="Checked" fmlaLink="$AV$50"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Radio" lockText="1"/>
</file>

<file path=xl/ctrlProps/ctrlProp922.xml><?xml version="1.0" encoding="utf-8"?>
<formControlPr xmlns="http://schemas.microsoft.com/office/spreadsheetml/2009/9/main" objectType="Radio"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Radio"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Radio"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Radio" checked="Checked" firstButton="1" fmlaLink="$AW$7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Radio"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Radio" lockText="1"/>
</file>

<file path=xl/ctrlProps/ctrlProp965.xml><?xml version="1.0" encoding="utf-8"?>
<formControlPr xmlns="http://schemas.microsoft.com/office/spreadsheetml/2009/9/main" objectType="Radio"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Radio" lockText="1"/>
</file>

<file path=xl/ctrlProps/ctrlProp97.xml><?xml version="1.0" encoding="utf-8"?>
<formControlPr xmlns="http://schemas.microsoft.com/office/spreadsheetml/2009/9/main" objectType="CheckBox" checked="Checked" fmlaLink="$AV$71" lockText="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Radio" lockText="1"/>
</file>

<file path=xl/ctrlProps/ctrlProp974.xml><?xml version="1.0" encoding="utf-8"?>
<formControlPr xmlns="http://schemas.microsoft.com/office/spreadsheetml/2009/9/main" objectType="Radio"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CheckBox" fmlaLink="$I$14" lockText="1"/>
</file>

<file path=xl/ctrlProps/ctrlProp978.xml><?xml version="1.0" encoding="utf-8"?>
<formControlPr xmlns="http://schemas.microsoft.com/office/spreadsheetml/2009/9/main" objectType="CheckBox" fmlaLink="$I$22" lockText="1"/>
</file>

<file path=xl/ctrlProps/ctrlProp979.xml><?xml version="1.0" encoding="utf-8"?>
<formControlPr xmlns="http://schemas.microsoft.com/office/spreadsheetml/2009/9/main" objectType="CheckBox" fmlaLink="$I$26" lockText="1"/>
</file>

<file path=xl/ctrlProps/ctrlProp98.xml><?xml version="1.0" encoding="utf-8"?>
<formControlPr xmlns="http://schemas.microsoft.com/office/spreadsheetml/2009/9/main" objectType="CheckBox" checked="Checked" fmlaLink="$AV$78" lockText="1"/>
</file>

<file path=xl/ctrlProps/ctrlProp980.xml><?xml version="1.0" encoding="utf-8"?>
<formControlPr xmlns="http://schemas.microsoft.com/office/spreadsheetml/2009/9/main" objectType="CheckBox" fmlaLink="$I$28" lockText="1"/>
</file>

<file path=xl/ctrlProps/ctrlProp981.xml><?xml version="1.0" encoding="utf-8"?>
<formControlPr xmlns="http://schemas.microsoft.com/office/spreadsheetml/2009/9/main" objectType="CheckBox" fmlaLink="$I$30" lockText="1"/>
</file>

<file path=xl/ctrlProps/ctrlProp982.xml><?xml version="1.0" encoding="utf-8"?>
<formControlPr xmlns="http://schemas.microsoft.com/office/spreadsheetml/2009/9/main" objectType="CheckBox" fmlaLink="$I$32" lockText="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71975" y="33306683"/>
          <a:ext cx="3765966" cy="482774"/>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76801" name="Option Button 1" hidden="1">
              <a:extLst>
                <a:ext uri="{63B3BB69-23CF-44E3-9099-C40C66FF867C}">
                  <a14:compatExt spid="_x0000_s76801"/>
                </a:ext>
                <a:ext uri="{FF2B5EF4-FFF2-40B4-BE49-F238E27FC236}">
                  <a16:creationId xmlns:a16="http://schemas.microsoft.com/office/drawing/2014/main" id="{00000000-0008-0000-00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76802" name="Option Button 2" hidden="1">
              <a:extLst>
                <a:ext uri="{63B3BB69-23CF-44E3-9099-C40C66FF867C}">
                  <a14:compatExt spid="_x0000_s76802"/>
                </a:ext>
                <a:ext uri="{FF2B5EF4-FFF2-40B4-BE49-F238E27FC236}">
                  <a16:creationId xmlns:a16="http://schemas.microsoft.com/office/drawing/2014/main" id="{00000000-0008-0000-00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76803" name="Group Box 3" hidden="1">
              <a:extLst>
                <a:ext uri="{63B3BB69-23CF-44E3-9099-C40C66FF867C}">
                  <a14:compatExt spid="_x0000_s76803"/>
                </a:ext>
                <a:ext uri="{FF2B5EF4-FFF2-40B4-BE49-F238E27FC236}">
                  <a16:creationId xmlns:a16="http://schemas.microsoft.com/office/drawing/2014/main" id="{00000000-0008-0000-0000-000003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88900</xdr:rowOff>
        </xdr:from>
        <xdr:to>
          <xdr:col>10</xdr:col>
          <xdr:colOff>107950</xdr:colOff>
          <xdr:row>16</xdr:row>
          <xdr:rowOff>279400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0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76805" name="Option Button 5" hidden="1">
              <a:extLst>
                <a:ext uri="{63B3BB69-23CF-44E3-9099-C40C66FF867C}">
                  <a14:compatExt spid="_x0000_s76805"/>
                </a:ext>
                <a:ext uri="{FF2B5EF4-FFF2-40B4-BE49-F238E27FC236}">
                  <a16:creationId xmlns:a16="http://schemas.microsoft.com/office/drawing/2014/main" id="{00000000-0008-0000-00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76806" name="Option Button 6" hidden="1">
              <a:extLst>
                <a:ext uri="{63B3BB69-23CF-44E3-9099-C40C66FF867C}">
                  <a14:compatExt spid="_x0000_s76806"/>
                </a:ext>
                <a:ext uri="{FF2B5EF4-FFF2-40B4-BE49-F238E27FC236}">
                  <a16:creationId xmlns:a16="http://schemas.microsoft.com/office/drawing/2014/main" id="{00000000-0008-0000-00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76807" name="Group Box 7" hidden="1">
              <a:extLst>
                <a:ext uri="{63B3BB69-23CF-44E3-9099-C40C66FF867C}">
                  <a14:compatExt spid="_x0000_s76807"/>
                </a:ext>
                <a:ext uri="{FF2B5EF4-FFF2-40B4-BE49-F238E27FC236}">
                  <a16:creationId xmlns:a16="http://schemas.microsoft.com/office/drawing/2014/main" id="{00000000-0008-0000-0000-000007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76808" name="Group Box 8" hidden="1">
              <a:extLst>
                <a:ext uri="{63B3BB69-23CF-44E3-9099-C40C66FF867C}">
                  <a14:compatExt spid="_x0000_s76808"/>
                </a:ext>
                <a:ext uri="{FF2B5EF4-FFF2-40B4-BE49-F238E27FC236}">
                  <a16:creationId xmlns:a16="http://schemas.microsoft.com/office/drawing/2014/main" id="{00000000-0008-0000-0000-000008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76809" name="Option Button 9" hidden="1">
              <a:extLst>
                <a:ext uri="{63B3BB69-23CF-44E3-9099-C40C66FF867C}">
                  <a14:compatExt spid="_x0000_s76809"/>
                </a:ext>
                <a:ext uri="{FF2B5EF4-FFF2-40B4-BE49-F238E27FC236}">
                  <a16:creationId xmlns:a16="http://schemas.microsoft.com/office/drawing/2014/main" id="{00000000-0008-0000-00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76810" name="Option Button 10" hidden="1">
              <a:extLst>
                <a:ext uri="{63B3BB69-23CF-44E3-9099-C40C66FF867C}">
                  <a14:compatExt spid="_x0000_s76810"/>
                </a:ext>
                <a:ext uri="{FF2B5EF4-FFF2-40B4-BE49-F238E27FC236}">
                  <a16:creationId xmlns:a16="http://schemas.microsoft.com/office/drawing/2014/main" id="{00000000-0008-0000-00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76811" name="Option Button 11" hidden="1">
              <a:extLst>
                <a:ext uri="{63B3BB69-23CF-44E3-9099-C40C66FF867C}">
                  <a14:compatExt spid="_x0000_s76811"/>
                </a:ext>
                <a:ext uri="{FF2B5EF4-FFF2-40B4-BE49-F238E27FC236}">
                  <a16:creationId xmlns:a16="http://schemas.microsoft.com/office/drawing/2014/main" id="{00000000-0008-0000-00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76812" name="Option Button 12" hidden="1">
              <a:extLst>
                <a:ext uri="{63B3BB69-23CF-44E3-9099-C40C66FF867C}">
                  <a14:compatExt spid="_x0000_s76812"/>
                </a:ext>
                <a:ext uri="{FF2B5EF4-FFF2-40B4-BE49-F238E27FC236}">
                  <a16:creationId xmlns:a16="http://schemas.microsoft.com/office/drawing/2014/main" id="{00000000-0008-0000-00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76813" name="Group Box 13" hidden="1">
              <a:extLst>
                <a:ext uri="{63B3BB69-23CF-44E3-9099-C40C66FF867C}">
                  <a14:compatExt spid="_x0000_s76813"/>
                </a:ext>
                <a:ext uri="{FF2B5EF4-FFF2-40B4-BE49-F238E27FC236}">
                  <a16:creationId xmlns:a16="http://schemas.microsoft.com/office/drawing/2014/main" id="{00000000-0008-0000-0000-00000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0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0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0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0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76818" name="Option Button 18" hidden="1">
              <a:extLst>
                <a:ext uri="{63B3BB69-23CF-44E3-9099-C40C66FF867C}">
                  <a14:compatExt spid="_x0000_s76818"/>
                </a:ext>
                <a:ext uri="{FF2B5EF4-FFF2-40B4-BE49-F238E27FC236}">
                  <a16:creationId xmlns:a16="http://schemas.microsoft.com/office/drawing/2014/main" id="{00000000-0008-0000-00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76819" name="Option Button 19" hidden="1">
              <a:extLst>
                <a:ext uri="{63B3BB69-23CF-44E3-9099-C40C66FF867C}">
                  <a14:compatExt spid="_x0000_s76819"/>
                </a:ext>
                <a:ext uri="{FF2B5EF4-FFF2-40B4-BE49-F238E27FC236}">
                  <a16:creationId xmlns:a16="http://schemas.microsoft.com/office/drawing/2014/main" id="{00000000-0008-0000-00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76820" name="Option Button 20" hidden="1">
              <a:extLst>
                <a:ext uri="{63B3BB69-23CF-44E3-9099-C40C66FF867C}">
                  <a14:compatExt spid="_x0000_s76820"/>
                </a:ext>
                <a:ext uri="{FF2B5EF4-FFF2-40B4-BE49-F238E27FC236}">
                  <a16:creationId xmlns:a16="http://schemas.microsoft.com/office/drawing/2014/main" id="{00000000-0008-0000-0000-00001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76821" name="Option Button 21" hidden="1">
              <a:extLst>
                <a:ext uri="{63B3BB69-23CF-44E3-9099-C40C66FF867C}">
                  <a14:compatExt spid="_x0000_s76821"/>
                </a:ext>
                <a:ext uri="{FF2B5EF4-FFF2-40B4-BE49-F238E27FC236}">
                  <a16:creationId xmlns:a16="http://schemas.microsoft.com/office/drawing/2014/main" id="{00000000-0008-0000-0000-00001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76822" name="Option Button 22" hidden="1">
              <a:extLst>
                <a:ext uri="{63B3BB69-23CF-44E3-9099-C40C66FF867C}">
                  <a14:compatExt spid="_x0000_s76822"/>
                </a:ext>
                <a:ext uri="{FF2B5EF4-FFF2-40B4-BE49-F238E27FC236}">
                  <a16:creationId xmlns:a16="http://schemas.microsoft.com/office/drawing/2014/main" id="{00000000-0008-0000-00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76823" name="Option Button 23" hidden="1">
              <a:extLst>
                <a:ext uri="{63B3BB69-23CF-44E3-9099-C40C66FF867C}">
                  <a14:compatExt spid="_x0000_s76823"/>
                </a:ext>
                <a:ext uri="{FF2B5EF4-FFF2-40B4-BE49-F238E27FC236}">
                  <a16:creationId xmlns:a16="http://schemas.microsoft.com/office/drawing/2014/main" id="{00000000-0008-0000-00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111088</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525555" y="8288430"/>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111072</xdr:rowOff>
    </xdr:to>
    <xdr:sp macro="" textlink="">
      <xdr:nvSpPr>
        <xdr:cNvPr id="27" name="角丸四角形 26">
          <a:extLst>
            <a:ext uri="{FF2B5EF4-FFF2-40B4-BE49-F238E27FC236}">
              <a16:creationId xmlns:a16="http://schemas.microsoft.com/office/drawing/2014/main" id="{00000000-0008-0000-0000-00001B000000}"/>
            </a:ext>
          </a:extLst>
        </xdr:cNvPr>
        <xdr:cNvSpPr/>
      </xdr:nvSpPr>
      <xdr:spPr>
        <a:xfrm>
          <a:off x="525558" y="13089014"/>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99879</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525545" y="15816540"/>
          <a:ext cx="2496958" cy="33296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0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159936" y="19957117"/>
          <a:ext cx="3268716" cy="220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000-00001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76826" name="Check Box 26" hidden="1">
              <a:extLst>
                <a:ext uri="{63B3BB69-23CF-44E3-9099-C40C66FF867C}">
                  <a14:compatExt spid="_x0000_s76826"/>
                </a:ext>
                <a:ext uri="{FF2B5EF4-FFF2-40B4-BE49-F238E27FC236}">
                  <a16:creationId xmlns:a16="http://schemas.microsoft.com/office/drawing/2014/main" id="{00000000-0008-0000-0000-00001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28</xdr:col>
          <xdr:colOff>247650</xdr:colOff>
          <xdr:row>79</xdr:row>
          <xdr:rowOff>222250</xdr:rowOff>
        </xdr:to>
        <xdr:sp macro="" textlink="">
          <xdr:nvSpPr>
            <xdr:cNvPr id="76827" name="Check Box 27" hidden="1">
              <a:extLst>
                <a:ext uri="{63B3BB69-23CF-44E3-9099-C40C66FF867C}">
                  <a14:compatExt spid="_x0000_s76827"/>
                </a:ext>
                <a:ext uri="{FF2B5EF4-FFF2-40B4-BE49-F238E27FC236}">
                  <a16:creationId xmlns:a16="http://schemas.microsoft.com/office/drawing/2014/main" id="{00000000-0008-0000-0000-00001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76828" name="Check Box 28" hidden="1">
              <a:extLst>
                <a:ext uri="{63B3BB69-23CF-44E3-9099-C40C66FF867C}">
                  <a14:compatExt spid="_x0000_s76828"/>
                </a:ext>
                <a:ext uri="{FF2B5EF4-FFF2-40B4-BE49-F238E27FC236}">
                  <a16:creationId xmlns:a16="http://schemas.microsoft.com/office/drawing/2014/main" id="{00000000-0008-0000-0000-00001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000-00001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0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0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0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111086</xdr:rowOff>
    </xdr:to>
    <xdr:sp macro="" textlink="">
      <xdr:nvSpPr>
        <xdr:cNvPr id="39" name="角丸四角形 38">
          <a:extLst>
            <a:ext uri="{FF2B5EF4-FFF2-40B4-BE49-F238E27FC236}">
              <a16:creationId xmlns:a16="http://schemas.microsoft.com/office/drawing/2014/main" id="{00000000-0008-0000-0000-000027000000}"/>
            </a:ext>
          </a:extLst>
        </xdr:cNvPr>
        <xdr:cNvSpPr/>
      </xdr:nvSpPr>
      <xdr:spPr>
        <a:xfrm>
          <a:off x="525556" y="25890628"/>
          <a:ext cx="2497652" cy="32848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99882</xdr:rowOff>
    </xdr:to>
    <xdr:sp macro="" textlink="">
      <xdr:nvSpPr>
        <xdr:cNvPr id="40" name="角丸四角形 39">
          <a:extLst>
            <a:ext uri="{FF2B5EF4-FFF2-40B4-BE49-F238E27FC236}">
              <a16:creationId xmlns:a16="http://schemas.microsoft.com/office/drawing/2014/main" id="{00000000-0008-0000-0000-000028000000}"/>
            </a:ext>
          </a:extLst>
        </xdr:cNvPr>
        <xdr:cNvSpPr/>
      </xdr:nvSpPr>
      <xdr:spPr>
        <a:xfrm>
          <a:off x="514350" y="28851225"/>
          <a:ext cx="2497652" cy="32848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45</xdr:col>
          <xdr:colOff>241300</xdr:colOff>
          <xdr:row>127</xdr:row>
          <xdr:rowOff>222250</xdr:rowOff>
        </xdr:to>
        <xdr:sp macro="" textlink="">
          <xdr:nvSpPr>
            <xdr:cNvPr id="76833" name="Group Box 33" hidden="1">
              <a:extLst>
                <a:ext uri="{63B3BB69-23CF-44E3-9099-C40C66FF867C}">
                  <a14:compatExt spid="_x0000_s76833"/>
                </a:ext>
                <a:ext uri="{FF2B5EF4-FFF2-40B4-BE49-F238E27FC236}">
                  <a16:creationId xmlns:a16="http://schemas.microsoft.com/office/drawing/2014/main" id="{00000000-0008-0000-0000-00002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0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0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76836" name="Option Button 36" hidden="1">
              <a:extLst>
                <a:ext uri="{63B3BB69-23CF-44E3-9099-C40C66FF867C}">
                  <a14:compatExt spid="_x0000_s76836"/>
                </a:ext>
                <a:ext uri="{FF2B5EF4-FFF2-40B4-BE49-F238E27FC236}">
                  <a16:creationId xmlns:a16="http://schemas.microsoft.com/office/drawing/2014/main" id="{00000000-0008-0000-00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76837" name="Option Button 37" hidden="1">
              <a:extLst>
                <a:ext uri="{63B3BB69-23CF-44E3-9099-C40C66FF867C}">
                  <a14:compatExt spid="_x0000_s76837"/>
                </a:ext>
                <a:ext uri="{FF2B5EF4-FFF2-40B4-BE49-F238E27FC236}">
                  <a16:creationId xmlns:a16="http://schemas.microsoft.com/office/drawing/2014/main" id="{00000000-0008-0000-0000-00002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76838" name="Group Box 38" hidden="1">
              <a:extLst>
                <a:ext uri="{63B3BB69-23CF-44E3-9099-C40C66FF867C}">
                  <a14:compatExt spid="_x0000_s76838"/>
                </a:ext>
                <a:ext uri="{FF2B5EF4-FFF2-40B4-BE49-F238E27FC236}">
                  <a16:creationId xmlns:a16="http://schemas.microsoft.com/office/drawing/2014/main" id="{00000000-0008-0000-0000-000026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76839" name="Option Button 39" hidden="1">
              <a:extLst>
                <a:ext uri="{63B3BB69-23CF-44E3-9099-C40C66FF867C}">
                  <a14:compatExt spid="_x0000_s76839"/>
                </a:ext>
                <a:ext uri="{FF2B5EF4-FFF2-40B4-BE49-F238E27FC236}">
                  <a16:creationId xmlns:a16="http://schemas.microsoft.com/office/drawing/2014/main" id="{00000000-0008-0000-0000-00002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76840" name="Option Button 40" hidden="1">
              <a:extLst>
                <a:ext uri="{63B3BB69-23CF-44E3-9099-C40C66FF867C}">
                  <a14:compatExt spid="_x0000_s76840"/>
                </a:ext>
                <a:ext uri="{FF2B5EF4-FFF2-40B4-BE49-F238E27FC236}">
                  <a16:creationId xmlns:a16="http://schemas.microsoft.com/office/drawing/2014/main" id="{00000000-0008-0000-0000-00002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76841" name="Group Box 41" hidden="1">
              <a:extLst>
                <a:ext uri="{63B3BB69-23CF-44E3-9099-C40C66FF867C}">
                  <a14:compatExt spid="_x0000_s76841"/>
                </a:ext>
                <a:ext uri="{FF2B5EF4-FFF2-40B4-BE49-F238E27FC236}">
                  <a16:creationId xmlns:a16="http://schemas.microsoft.com/office/drawing/2014/main" id="{00000000-0008-0000-0000-00002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76842" name="Option Button 42" hidden="1">
              <a:extLst>
                <a:ext uri="{63B3BB69-23CF-44E3-9099-C40C66FF867C}">
                  <a14:compatExt spid="_x0000_s76842"/>
                </a:ext>
                <a:ext uri="{FF2B5EF4-FFF2-40B4-BE49-F238E27FC236}">
                  <a16:creationId xmlns:a16="http://schemas.microsoft.com/office/drawing/2014/main" id="{00000000-0008-0000-0000-00002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76843" name="Option Button 43" hidden="1">
              <a:extLst>
                <a:ext uri="{63B3BB69-23CF-44E3-9099-C40C66FF867C}">
                  <a14:compatExt spid="_x0000_s76843"/>
                </a:ext>
                <a:ext uri="{FF2B5EF4-FFF2-40B4-BE49-F238E27FC236}">
                  <a16:creationId xmlns:a16="http://schemas.microsoft.com/office/drawing/2014/main" id="{00000000-0008-0000-0000-00002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76844" name="Option Button 44" hidden="1">
              <a:extLst>
                <a:ext uri="{63B3BB69-23CF-44E3-9099-C40C66FF867C}">
                  <a14:compatExt spid="_x0000_s76844"/>
                </a:ext>
                <a:ext uri="{FF2B5EF4-FFF2-40B4-BE49-F238E27FC236}">
                  <a16:creationId xmlns:a16="http://schemas.microsoft.com/office/drawing/2014/main" id="{00000000-0008-0000-0000-00002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76845" name="Option Button 45" hidden="1">
              <a:extLst>
                <a:ext uri="{63B3BB69-23CF-44E3-9099-C40C66FF867C}">
                  <a14:compatExt spid="_x0000_s76845"/>
                </a:ext>
                <a:ext uri="{FF2B5EF4-FFF2-40B4-BE49-F238E27FC236}">
                  <a16:creationId xmlns:a16="http://schemas.microsoft.com/office/drawing/2014/main" id="{00000000-0008-0000-0000-00002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76846" name="Option Button 46" hidden="1">
              <a:extLst>
                <a:ext uri="{63B3BB69-23CF-44E3-9099-C40C66FF867C}">
                  <a14:compatExt spid="_x0000_s76846"/>
                </a:ext>
                <a:ext uri="{FF2B5EF4-FFF2-40B4-BE49-F238E27FC236}">
                  <a16:creationId xmlns:a16="http://schemas.microsoft.com/office/drawing/2014/main" id="{00000000-0008-0000-0000-00002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76847" name="Option Button 47" hidden="1">
              <a:extLst>
                <a:ext uri="{63B3BB69-23CF-44E3-9099-C40C66FF867C}">
                  <a14:compatExt spid="_x0000_s76847"/>
                </a:ext>
                <a:ext uri="{FF2B5EF4-FFF2-40B4-BE49-F238E27FC236}">
                  <a16:creationId xmlns:a16="http://schemas.microsoft.com/office/drawing/2014/main" id="{00000000-0008-0000-0000-00002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76848" name="Option Button 48" hidden="1">
              <a:extLst>
                <a:ext uri="{63B3BB69-23CF-44E3-9099-C40C66FF867C}">
                  <a14:compatExt spid="_x0000_s76848"/>
                </a:ext>
                <a:ext uri="{FF2B5EF4-FFF2-40B4-BE49-F238E27FC236}">
                  <a16:creationId xmlns:a16="http://schemas.microsoft.com/office/drawing/2014/main" id="{00000000-0008-0000-0000-00003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76849" name="Option Button 49" hidden="1">
              <a:extLst>
                <a:ext uri="{63B3BB69-23CF-44E3-9099-C40C66FF867C}">
                  <a14:compatExt spid="_x0000_s76849"/>
                </a:ext>
                <a:ext uri="{FF2B5EF4-FFF2-40B4-BE49-F238E27FC236}">
                  <a16:creationId xmlns:a16="http://schemas.microsoft.com/office/drawing/2014/main" id="{00000000-0008-0000-0000-00003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76850" name="Group Box 50" hidden="1">
              <a:extLst>
                <a:ext uri="{63B3BB69-23CF-44E3-9099-C40C66FF867C}">
                  <a14:compatExt spid="_x0000_s76850"/>
                </a:ext>
                <a:ext uri="{FF2B5EF4-FFF2-40B4-BE49-F238E27FC236}">
                  <a16:creationId xmlns:a16="http://schemas.microsoft.com/office/drawing/2014/main" id="{00000000-0008-0000-0000-000032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76851" name="Group Box 51" hidden="1">
              <a:extLst>
                <a:ext uri="{63B3BB69-23CF-44E3-9099-C40C66FF867C}">
                  <a14:compatExt spid="_x0000_s76851"/>
                </a:ext>
                <a:ext uri="{FF2B5EF4-FFF2-40B4-BE49-F238E27FC236}">
                  <a16:creationId xmlns:a16="http://schemas.microsoft.com/office/drawing/2014/main" id="{00000000-0008-0000-0000-000033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76852" name="Group Box 52" hidden="1">
              <a:extLst>
                <a:ext uri="{63B3BB69-23CF-44E3-9099-C40C66FF867C}">
                  <a14:compatExt spid="_x0000_s76852"/>
                </a:ext>
                <a:ext uri="{FF2B5EF4-FFF2-40B4-BE49-F238E27FC236}">
                  <a16:creationId xmlns:a16="http://schemas.microsoft.com/office/drawing/2014/main" id="{00000000-0008-0000-0000-000034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76853" name="Group Box 53" hidden="1">
              <a:extLst>
                <a:ext uri="{63B3BB69-23CF-44E3-9099-C40C66FF867C}">
                  <a14:compatExt spid="_x0000_s76853"/>
                </a:ext>
                <a:ext uri="{FF2B5EF4-FFF2-40B4-BE49-F238E27FC236}">
                  <a16:creationId xmlns:a16="http://schemas.microsoft.com/office/drawing/2014/main" id="{00000000-0008-0000-0000-00003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76854" name="Option Button 54" hidden="1">
              <a:extLst>
                <a:ext uri="{63B3BB69-23CF-44E3-9099-C40C66FF867C}">
                  <a14:compatExt spid="_x0000_s76854"/>
                </a:ext>
                <a:ext uri="{FF2B5EF4-FFF2-40B4-BE49-F238E27FC236}">
                  <a16:creationId xmlns:a16="http://schemas.microsoft.com/office/drawing/2014/main" id="{00000000-0008-0000-0000-00003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76855" name="Option Button 55" hidden="1">
              <a:extLst>
                <a:ext uri="{63B3BB69-23CF-44E3-9099-C40C66FF867C}">
                  <a14:compatExt spid="_x0000_s76855"/>
                </a:ext>
                <a:ext uri="{FF2B5EF4-FFF2-40B4-BE49-F238E27FC236}">
                  <a16:creationId xmlns:a16="http://schemas.microsoft.com/office/drawing/2014/main" id="{00000000-0008-0000-0000-00003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76856" name="Group Box 56" hidden="1">
              <a:extLst>
                <a:ext uri="{63B3BB69-23CF-44E3-9099-C40C66FF867C}">
                  <a14:compatExt spid="_x0000_s76856"/>
                </a:ext>
                <a:ext uri="{FF2B5EF4-FFF2-40B4-BE49-F238E27FC236}">
                  <a16:creationId xmlns:a16="http://schemas.microsoft.com/office/drawing/2014/main" id="{00000000-0008-0000-0000-000038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107950</xdr:colOff>
          <xdr:row>17</xdr:row>
          <xdr:rowOff>127000</xdr:rowOff>
        </xdr:from>
        <xdr:to>
          <xdr:col>31</xdr:col>
          <xdr:colOff>165100</xdr:colOff>
          <xdr:row>18</xdr:row>
          <xdr:rowOff>95250</xdr:rowOff>
        </xdr:to>
        <xdr:sp macro="" textlink="">
          <xdr:nvSpPr>
            <xdr:cNvPr id="76857" name="Option Button 57" hidden="1">
              <a:extLst>
                <a:ext uri="{63B3BB69-23CF-44E3-9099-C40C66FF867C}">
                  <a14:compatExt spid="_x0000_s76857"/>
                </a:ext>
                <a:ext uri="{FF2B5EF4-FFF2-40B4-BE49-F238E27FC236}">
                  <a16:creationId xmlns:a16="http://schemas.microsoft.com/office/drawing/2014/main" id="{00000000-0008-0000-0000-00003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17</xdr:row>
          <xdr:rowOff>127000</xdr:rowOff>
        </xdr:from>
        <xdr:to>
          <xdr:col>38</xdr:col>
          <xdr:colOff>171450</xdr:colOff>
          <xdr:row>18</xdr:row>
          <xdr:rowOff>95250</xdr:rowOff>
        </xdr:to>
        <xdr:sp macro="" textlink="">
          <xdr:nvSpPr>
            <xdr:cNvPr id="76858" name="Option Button 58" hidden="1">
              <a:extLst>
                <a:ext uri="{63B3BB69-23CF-44E3-9099-C40C66FF867C}">
                  <a14:compatExt spid="_x0000_s76858"/>
                </a:ext>
                <a:ext uri="{FF2B5EF4-FFF2-40B4-BE49-F238E27FC236}">
                  <a16:creationId xmlns:a16="http://schemas.microsoft.com/office/drawing/2014/main" id="{00000000-0008-0000-0000-00003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xdr:row>
          <xdr:rowOff>50800</xdr:rowOff>
        </xdr:from>
        <xdr:to>
          <xdr:col>14</xdr:col>
          <xdr:colOff>247650</xdr:colOff>
          <xdr:row>26</xdr:row>
          <xdr:rowOff>19050</xdr:rowOff>
        </xdr:to>
        <xdr:sp macro="" textlink="">
          <xdr:nvSpPr>
            <xdr:cNvPr id="76859" name="Group Box 59" hidden="1">
              <a:extLst>
                <a:ext uri="{63B3BB69-23CF-44E3-9099-C40C66FF867C}">
                  <a14:compatExt spid="_x0000_s76859"/>
                </a:ext>
                <a:ext uri="{FF2B5EF4-FFF2-40B4-BE49-F238E27FC236}">
                  <a16:creationId xmlns:a16="http://schemas.microsoft.com/office/drawing/2014/main" id="{00000000-0008-0000-0000-00003B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76860" name="Option Button 60" hidden="1">
              <a:extLst>
                <a:ext uri="{63B3BB69-23CF-44E3-9099-C40C66FF867C}">
                  <a14:compatExt spid="_x0000_s76860"/>
                </a:ext>
                <a:ext uri="{FF2B5EF4-FFF2-40B4-BE49-F238E27FC236}">
                  <a16:creationId xmlns:a16="http://schemas.microsoft.com/office/drawing/2014/main" id="{00000000-0008-0000-0000-00003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76861" name="Option Button 61" hidden="1">
              <a:extLst>
                <a:ext uri="{63B3BB69-23CF-44E3-9099-C40C66FF867C}">
                  <a14:compatExt spid="_x0000_s76861"/>
                </a:ext>
                <a:ext uri="{FF2B5EF4-FFF2-40B4-BE49-F238E27FC236}">
                  <a16:creationId xmlns:a16="http://schemas.microsoft.com/office/drawing/2014/main" id="{00000000-0008-0000-0000-00003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26</xdr:col>
          <xdr:colOff>241300</xdr:colOff>
          <xdr:row>131</xdr:row>
          <xdr:rowOff>19050</xdr:rowOff>
        </xdr:to>
        <xdr:sp macro="" textlink="">
          <xdr:nvSpPr>
            <xdr:cNvPr id="76862" name="Group Box 62" hidden="1">
              <a:extLst>
                <a:ext uri="{63B3BB69-23CF-44E3-9099-C40C66FF867C}">
                  <a14:compatExt spid="_x0000_s76862"/>
                </a:ext>
                <a:ext uri="{FF2B5EF4-FFF2-40B4-BE49-F238E27FC236}">
                  <a16:creationId xmlns:a16="http://schemas.microsoft.com/office/drawing/2014/main" id="{00000000-0008-0000-0000-00003E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11206</xdr:colOff>
      <xdr:row>47</xdr:row>
      <xdr:rowOff>201705</xdr:rowOff>
    </xdr:from>
    <xdr:ext cx="188119" cy="19056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2068606" y="13736730"/>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3612746" y="1373505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7838575" y="105744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057400" y="107761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34</xdr:row>
      <xdr:rowOff>223491</xdr:rowOff>
    </xdr:from>
    <xdr:ext cx="483072" cy="169405"/>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3343275" y="107867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5400675" y="107867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7458075" y="107867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9515475" y="107867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7838575" y="144606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2057400" y="146623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51</xdr:row>
      <xdr:rowOff>223491</xdr:rowOff>
    </xdr:from>
    <xdr:ext cx="483072" cy="169405"/>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3343275" y="146729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5400675" y="146729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7458075" y="146729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92" name="テキスト ボックス 91">
          <a:extLst>
            <a:ext uri="{FF2B5EF4-FFF2-40B4-BE49-F238E27FC236}">
              <a16:creationId xmlns:a16="http://schemas.microsoft.com/office/drawing/2014/main" id="{00000000-0008-0000-0000-00005C000000}"/>
            </a:ext>
          </a:extLst>
        </xdr:cNvPr>
        <xdr:cNvSpPr txBox="1"/>
      </xdr:nvSpPr>
      <xdr:spPr>
        <a:xfrm>
          <a:off x="9515475" y="146729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97" name="テキスト ボックス 96">
          <a:extLst>
            <a:ext uri="{FF2B5EF4-FFF2-40B4-BE49-F238E27FC236}">
              <a16:creationId xmlns:a16="http://schemas.microsoft.com/office/drawing/2014/main" id="{00000000-0008-0000-0000-000061000000}"/>
            </a:ext>
          </a:extLst>
        </xdr:cNvPr>
        <xdr:cNvSpPr txBox="1"/>
      </xdr:nvSpPr>
      <xdr:spPr>
        <a:xfrm>
          <a:off x="7838575" y="1880402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2057400" y="1900573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13</xdr:col>
      <xdr:colOff>0</xdr:colOff>
      <xdr:row>70</xdr:row>
      <xdr:rowOff>223491</xdr:rowOff>
    </xdr:from>
    <xdr:ext cx="483072" cy="169405"/>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3343275" y="1901631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02" name="テキスト ボックス 101">
          <a:extLst>
            <a:ext uri="{FF2B5EF4-FFF2-40B4-BE49-F238E27FC236}">
              <a16:creationId xmlns:a16="http://schemas.microsoft.com/office/drawing/2014/main" id="{00000000-0008-0000-0000-000066000000}"/>
            </a:ext>
          </a:extLst>
        </xdr:cNvPr>
        <xdr:cNvSpPr txBox="1"/>
      </xdr:nvSpPr>
      <xdr:spPr>
        <a:xfrm>
          <a:off x="5400675" y="1901631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03" name="テキスト ボックス 102">
          <a:extLst>
            <a:ext uri="{FF2B5EF4-FFF2-40B4-BE49-F238E27FC236}">
              <a16:creationId xmlns:a16="http://schemas.microsoft.com/office/drawing/2014/main" id="{00000000-0008-0000-0000-000067000000}"/>
            </a:ext>
          </a:extLst>
        </xdr:cNvPr>
        <xdr:cNvSpPr txBox="1"/>
      </xdr:nvSpPr>
      <xdr:spPr>
        <a:xfrm>
          <a:off x="7458075" y="1901631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04" name="テキスト ボックス 103">
          <a:extLst>
            <a:ext uri="{FF2B5EF4-FFF2-40B4-BE49-F238E27FC236}">
              <a16:creationId xmlns:a16="http://schemas.microsoft.com/office/drawing/2014/main" id="{00000000-0008-0000-0000-000068000000}"/>
            </a:ext>
          </a:extLst>
        </xdr:cNvPr>
        <xdr:cNvSpPr txBox="1"/>
      </xdr:nvSpPr>
      <xdr:spPr>
        <a:xfrm>
          <a:off x="9515475" y="1901631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9</xdr:col>
          <xdr:colOff>38100</xdr:colOff>
          <xdr:row>17</xdr:row>
          <xdr:rowOff>19050</xdr:rowOff>
        </xdr:from>
        <xdr:to>
          <xdr:col>24</xdr:col>
          <xdr:colOff>76200</xdr:colOff>
          <xdr:row>18</xdr:row>
          <xdr:rowOff>203200</xdr:rowOff>
        </xdr:to>
        <xdr:sp macro="" textlink="">
          <xdr:nvSpPr>
            <xdr:cNvPr id="76863" name="Group Box 63" hidden="1">
              <a:extLst>
                <a:ext uri="{63B3BB69-23CF-44E3-9099-C40C66FF867C}">
                  <a14:compatExt spid="_x0000_s76863"/>
                </a:ext>
                <a:ext uri="{FF2B5EF4-FFF2-40B4-BE49-F238E27FC236}">
                  <a16:creationId xmlns:a16="http://schemas.microsoft.com/office/drawing/2014/main" id="{00000000-0008-0000-0000-00003F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17</xdr:row>
          <xdr:rowOff>127000</xdr:rowOff>
        </xdr:from>
        <xdr:to>
          <xdr:col>12</xdr:col>
          <xdr:colOff>190500</xdr:colOff>
          <xdr:row>18</xdr:row>
          <xdr:rowOff>95250</xdr:rowOff>
        </xdr:to>
        <xdr:sp macro="" textlink="">
          <xdr:nvSpPr>
            <xdr:cNvPr id="76864" name="Option Button 64" hidden="1">
              <a:extLst>
                <a:ext uri="{63B3BB69-23CF-44E3-9099-C40C66FF867C}">
                  <a14:compatExt spid="_x0000_s76864"/>
                </a:ext>
                <a:ext uri="{FF2B5EF4-FFF2-40B4-BE49-F238E27FC236}">
                  <a16:creationId xmlns:a16="http://schemas.microsoft.com/office/drawing/2014/main" id="{00000000-0008-0000-0000-00004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127000</xdr:rowOff>
        </xdr:from>
        <xdr:to>
          <xdr:col>19</xdr:col>
          <xdr:colOff>171450</xdr:colOff>
          <xdr:row>18</xdr:row>
          <xdr:rowOff>107950</xdr:rowOff>
        </xdr:to>
        <xdr:sp macro="" textlink="">
          <xdr:nvSpPr>
            <xdr:cNvPr id="76865" name="Option Button 65" hidden="1">
              <a:extLst>
                <a:ext uri="{63B3BB69-23CF-44E3-9099-C40C66FF867C}">
                  <a14:compatExt spid="_x0000_s76865"/>
                </a:ext>
                <a:ext uri="{FF2B5EF4-FFF2-40B4-BE49-F238E27FC236}">
                  <a16:creationId xmlns:a16="http://schemas.microsoft.com/office/drawing/2014/main" id="{00000000-0008-0000-0000-00004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235327</xdr:colOff>
      <xdr:row>40</xdr:row>
      <xdr:rowOff>33642</xdr:rowOff>
    </xdr:from>
    <xdr:to>
      <xdr:col>30</xdr:col>
      <xdr:colOff>78446</xdr:colOff>
      <xdr:row>41</xdr:row>
      <xdr:rowOff>168112</xdr:rowOff>
    </xdr:to>
    <xdr:sp macro="" textlink="">
      <xdr:nvSpPr>
        <xdr:cNvPr id="112" name="角丸四角形吹き出し 111">
          <a:extLst>
            <a:ext uri="{FF2B5EF4-FFF2-40B4-BE49-F238E27FC236}">
              <a16:creationId xmlns:a16="http://schemas.microsoft.com/office/drawing/2014/main" id="{00000000-0008-0000-0000-000070000000}"/>
            </a:ext>
          </a:extLst>
        </xdr:cNvPr>
        <xdr:cNvSpPr/>
      </xdr:nvSpPr>
      <xdr:spPr>
        <a:xfrm>
          <a:off x="4359092" y="1183343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22414</xdr:colOff>
      <xdr:row>2</xdr:row>
      <xdr:rowOff>44823</xdr:rowOff>
    </xdr:from>
    <xdr:to>
      <xdr:col>45</xdr:col>
      <xdr:colOff>206752</xdr:colOff>
      <xdr:row>3</xdr:row>
      <xdr:rowOff>206188</xdr:rowOff>
    </xdr:to>
    <xdr:sp macro="" textlink="">
      <xdr:nvSpPr>
        <xdr:cNvPr id="113" name="角丸四角形吹き出し 112">
          <a:extLst>
            <a:ext uri="{FF2B5EF4-FFF2-40B4-BE49-F238E27FC236}">
              <a16:creationId xmlns:a16="http://schemas.microsoft.com/office/drawing/2014/main" id="{00000000-0008-0000-0000-000071000000}"/>
            </a:ext>
          </a:extLst>
        </xdr:cNvPr>
        <xdr:cNvSpPr/>
      </xdr:nvSpPr>
      <xdr:spPr>
        <a:xfrm>
          <a:off x="8785414" y="493058"/>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20</xdr:col>
      <xdr:colOff>22412</xdr:colOff>
      <xdr:row>18</xdr:row>
      <xdr:rowOff>78450</xdr:rowOff>
    </xdr:from>
    <xdr:ext cx="4549835" cy="336404"/>
    <xdr:sp macro="" textlink="">
      <xdr:nvSpPr>
        <xdr:cNvPr id="114" name="角丸四角形吹き出し 113">
          <a:extLst>
            <a:ext uri="{FF2B5EF4-FFF2-40B4-BE49-F238E27FC236}">
              <a16:creationId xmlns:a16="http://schemas.microsoft.com/office/drawing/2014/main" id="{00000000-0008-0000-0000-000072000000}"/>
            </a:ext>
          </a:extLst>
        </xdr:cNvPr>
        <xdr:cNvSpPr/>
      </xdr:nvSpPr>
      <xdr:spPr>
        <a:xfrm>
          <a:off x="5177118" y="6947656"/>
          <a:ext cx="4549835" cy="336404"/>
        </a:xfrm>
        <a:prstGeom prst="wedgeRoundRectCallout">
          <a:avLst>
            <a:gd name="adj1" fmla="val -7213"/>
            <a:gd name="adj2" fmla="val -7582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25</xdr:col>
      <xdr:colOff>112060</xdr:colOff>
      <xdr:row>15</xdr:row>
      <xdr:rowOff>235329</xdr:rowOff>
    </xdr:from>
    <xdr:to>
      <xdr:col>40</xdr:col>
      <xdr:colOff>67229</xdr:colOff>
      <xdr:row>17</xdr:row>
      <xdr:rowOff>89653</xdr:rowOff>
    </xdr:to>
    <xdr:sp macro="" textlink="">
      <xdr:nvSpPr>
        <xdr:cNvPr id="115" name="角丸四角形吹き出し 114">
          <a:extLst>
            <a:ext uri="{FF2B5EF4-FFF2-40B4-BE49-F238E27FC236}">
              <a16:creationId xmlns:a16="http://schemas.microsoft.com/office/drawing/2014/main" id="{00000000-0008-0000-0000-000073000000}"/>
            </a:ext>
          </a:extLst>
        </xdr:cNvPr>
        <xdr:cNvSpPr/>
      </xdr:nvSpPr>
      <xdr:spPr>
        <a:xfrm>
          <a:off x="6555442" y="6275300"/>
          <a:ext cx="3821199" cy="459441"/>
        </a:xfrm>
        <a:prstGeom prst="wedgeRoundRectCallout">
          <a:avLst>
            <a:gd name="adj1" fmla="val -62755"/>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33620</xdr:colOff>
      <xdr:row>43</xdr:row>
      <xdr:rowOff>89671</xdr:rowOff>
    </xdr:from>
    <xdr:to>
      <xdr:col>19</xdr:col>
      <xdr:colOff>208990</xdr:colOff>
      <xdr:row>44</xdr:row>
      <xdr:rowOff>206212</xdr:rowOff>
    </xdr:to>
    <xdr:sp macro="" textlink="">
      <xdr:nvSpPr>
        <xdr:cNvPr id="116" name="角丸四角形吹き出し 115">
          <a:extLst>
            <a:ext uri="{FF2B5EF4-FFF2-40B4-BE49-F238E27FC236}">
              <a16:creationId xmlns:a16="http://schemas.microsoft.com/office/drawing/2014/main" id="{00000000-0008-0000-0000-000074000000}"/>
            </a:ext>
          </a:extLst>
        </xdr:cNvPr>
        <xdr:cNvSpPr/>
      </xdr:nvSpPr>
      <xdr:spPr>
        <a:xfrm>
          <a:off x="1322296" y="1256181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251567</xdr:colOff>
      <xdr:row>55</xdr:row>
      <xdr:rowOff>138977</xdr:rowOff>
    </xdr:from>
    <xdr:to>
      <xdr:col>38</xdr:col>
      <xdr:colOff>67229</xdr:colOff>
      <xdr:row>57</xdr:row>
      <xdr:rowOff>31401</xdr:rowOff>
    </xdr:to>
    <xdr:sp macro="" textlink="">
      <xdr:nvSpPr>
        <xdr:cNvPr id="117" name="角丸四角形吹き出し 116">
          <a:extLst>
            <a:ext uri="{FF2B5EF4-FFF2-40B4-BE49-F238E27FC236}">
              <a16:creationId xmlns:a16="http://schemas.microsoft.com/office/drawing/2014/main" id="{00000000-0008-0000-0000-000075000000}"/>
            </a:ext>
          </a:extLst>
        </xdr:cNvPr>
        <xdr:cNvSpPr/>
      </xdr:nvSpPr>
      <xdr:spPr>
        <a:xfrm>
          <a:off x="7725891" y="15300536"/>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18</xdr:col>
      <xdr:colOff>3925</xdr:colOff>
      <xdr:row>79</xdr:row>
      <xdr:rowOff>199515</xdr:rowOff>
    </xdr:from>
    <xdr:to>
      <xdr:col>29</xdr:col>
      <xdr:colOff>33618</xdr:colOff>
      <xdr:row>82</xdr:row>
      <xdr:rowOff>134472</xdr:rowOff>
    </xdr:to>
    <xdr:sp macro="" textlink="">
      <xdr:nvSpPr>
        <xdr:cNvPr id="119" name="角丸四角形吹き出し 118">
          <a:extLst>
            <a:ext uri="{FF2B5EF4-FFF2-40B4-BE49-F238E27FC236}">
              <a16:creationId xmlns:a16="http://schemas.microsoft.com/office/drawing/2014/main" id="{00000000-0008-0000-0000-000077000000}"/>
            </a:ext>
          </a:extLst>
        </xdr:cNvPr>
        <xdr:cNvSpPr/>
      </xdr:nvSpPr>
      <xdr:spPr>
        <a:xfrm>
          <a:off x="4643160" y="20739897"/>
          <a:ext cx="2864782" cy="607310"/>
        </a:xfrm>
        <a:prstGeom prst="wedgeRoundRectCallout">
          <a:avLst>
            <a:gd name="adj1" fmla="val -55540"/>
            <a:gd name="adj2" fmla="val 141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端末決済サービスをご利用になる事業をできる限り詳細にご入力ください。</a:t>
          </a:r>
        </a:p>
      </xdr:txBody>
    </xdr:sp>
    <xdr:clientData/>
  </xdr:twoCellAnchor>
  <xdr:twoCellAnchor>
    <xdr:from>
      <xdr:col>16</xdr:col>
      <xdr:colOff>177614</xdr:colOff>
      <xdr:row>67</xdr:row>
      <xdr:rowOff>168131</xdr:rowOff>
    </xdr:from>
    <xdr:to>
      <xdr:col>29</xdr:col>
      <xdr:colOff>52107</xdr:colOff>
      <xdr:row>69</xdr:row>
      <xdr:rowOff>65038</xdr:rowOff>
    </xdr:to>
    <xdr:sp macro="" textlink="">
      <xdr:nvSpPr>
        <xdr:cNvPr id="120" name="角丸四角形吹き出し 119">
          <a:extLst>
            <a:ext uri="{FF2B5EF4-FFF2-40B4-BE49-F238E27FC236}">
              <a16:creationId xmlns:a16="http://schemas.microsoft.com/office/drawing/2014/main" id="{00000000-0008-0000-0000-000078000000}"/>
            </a:ext>
          </a:extLst>
        </xdr:cNvPr>
        <xdr:cNvSpPr/>
      </xdr:nvSpPr>
      <xdr:spPr>
        <a:xfrm>
          <a:off x="4301379" y="15598631"/>
          <a:ext cx="3225052" cy="345142"/>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56031</xdr:colOff>
      <xdr:row>86</xdr:row>
      <xdr:rowOff>69534</xdr:rowOff>
    </xdr:from>
    <xdr:to>
      <xdr:col>33</xdr:col>
      <xdr:colOff>116540</xdr:colOff>
      <xdr:row>87</xdr:row>
      <xdr:rowOff>141251</xdr:rowOff>
    </xdr:to>
    <xdr:sp macro="" textlink="">
      <xdr:nvSpPr>
        <xdr:cNvPr id="121" name="角丸四角形吹き出し 120">
          <a:extLst>
            <a:ext uri="{FF2B5EF4-FFF2-40B4-BE49-F238E27FC236}">
              <a16:creationId xmlns:a16="http://schemas.microsoft.com/office/drawing/2014/main" id="{00000000-0008-0000-0000-000079000000}"/>
            </a:ext>
          </a:extLst>
        </xdr:cNvPr>
        <xdr:cNvSpPr/>
      </xdr:nvSpPr>
      <xdr:spPr>
        <a:xfrm>
          <a:off x="3664325" y="22178740"/>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9</xdr:col>
      <xdr:colOff>56013</xdr:colOff>
      <xdr:row>99</xdr:row>
      <xdr:rowOff>190566</xdr:rowOff>
    </xdr:from>
    <xdr:to>
      <xdr:col>36</xdr:col>
      <xdr:colOff>52091</xdr:colOff>
      <xdr:row>101</xdr:row>
      <xdr:rowOff>13508</xdr:rowOff>
    </xdr:to>
    <xdr:sp macro="" textlink="">
      <xdr:nvSpPr>
        <xdr:cNvPr id="122" name="線吹き出し 1 (枠付き) 121">
          <a:extLst>
            <a:ext uri="{FF2B5EF4-FFF2-40B4-BE49-F238E27FC236}">
              <a16:creationId xmlns:a16="http://schemas.microsoft.com/office/drawing/2014/main" id="{00000000-0008-0000-0000-00007A000000}"/>
            </a:ext>
          </a:extLst>
        </xdr:cNvPr>
        <xdr:cNvSpPr/>
      </xdr:nvSpPr>
      <xdr:spPr>
        <a:xfrm>
          <a:off x="2375631" y="25213301"/>
          <a:ext cx="6954931" cy="271178"/>
        </a:xfrm>
        <a:prstGeom prst="borderCallout1">
          <a:avLst>
            <a:gd name="adj1" fmla="val 2221"/>
            <a:gd name="adj2" fmla="val 3912"/>
            <a:gd name="adj3" fmla="val -709829"/>
            <a:gd name="adj4" fmla="val 10648"/>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22415</xdr:colOff>
      <xdr:row>116</xdr:row>
      <xdr:rowOff>123341</xdr:rowOff>
    </xdr:from>
    <xdr:to>
      <xdr:col>30</xdr:col>
      <xdr:colOff>22414</xdr:colOff>
      <xdr:row>119</xdr:row>
      <xdr:rowOff>112057</xdr:rowOff>
    </xdr:to>
    <xdr:sp macro="" textlink="">
      <xdr:nvSpPr>
        <xdr:cNvPr id="123" name="角丸四角形 122">
          <a:extLst>
            <a:ext uri="{FF2B5EF4-FFF2-40B4-BE49-F238E27FC236}">
              <a16:creationId xmlns:a16="http://schemas.microsoft.com/office/drawing/2014/main" id="{00000000-0008-0000-0000-00007B000000}"/>
            </a:ext>
          </a:extLst>
        </xdr:cNvPr>
        <xdr:cNvSpPr/>
      </xdr:nvSpPr>
      <xdr:spPr>
        <a:xfrm>
          <a:off x="5692591" y="26087370"/>
          <a:ext cx="2061882" cy="661069"/>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22</xdr:col>
      <xdr:colOff>33622</xdr:colOff>
      <xdr:row>123</xdr:row>
      <xdr:rowOff>179295</xdr:rowOff>
    </xdr:from>
    <xdr:to>
      <xdr:col>31</xdr:col>
      <xdr:colOff>4486</xdr:colOff>
      <xdr:row>126</xdr:row>
      <xdr:rowOff>112054</xdr:rowOff>
    </xdr:to>
    <xdr:sp macro="" textlink="">
      <xdr:nvSpPr>
        <xdr:cNvPr id="124" name="角丸四角形 123">
          <a:extLst>
            <a:ext uri="{FF2B5EF4-FFF2-40B4-BE49-F238E27FC236}">
              <a16:creationId xmlns:a16="http://schemas.microsoft.com/office/drawing/2014/main" id="{00000000-0008-0000-0000-00007C000000}"/>
            </a:ext>
          </a:extLst>
        </xdr:cNvPr>
        <xdr:cNvSpPr/>
      </xdr:nvSpPr>
      <xdr:spPr>
        <a:xfrm>
          <a:off x="5703798" y="27039795"/>
          <a:ext cx="2290482" cy="605112"/>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100848</xdr:colOff>
      <xdr:row>21</xdr:row>
      <xdr:rowOff>141196</xdr:rowOff>
    </xdr:from>
    <xdr:to>
      <xdr:col>46</xdr:col>
      <xdr:colOff>190500</xdr:colOff>
      <xdr:row>24</xdr:row>
      <xdr:rowOff>134477</xdr:rowOff>
    </xdr:to>
    <xdr:sp macro="" textlink="">
      <xdr:nvSpPr>
        <xdr:cNvPr id="125" name="角丸四角形吹き出し 124">
          <a:extLst>
            <a:ext uri="{FF2B5EF4-FFF2-40B4-BE49-F238E27FC236}">
              <a16:creationId xmlns:a16="http://schemas.microsoft.com/office/drawing/2014/main" id="{00000000-0008-0000-0000-00007D000000}"/>
            </a:ext>
          </a:extLst>
        </xdr:cNvPr>
        <xdr:cNvSpPr/>
      </xdr:nvSpPr>
      <xdr:spPr>
        <a:xfrm>
          <a:off x="7832907" y="7682755"/>
          <a:ext cx="4213417"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168082</xdr:colOff>
      <xdr:row>38</xdr:row>
      <xdr:rowOff>168103</xdr:rowOff>
    </xdr:from>
    <xdr:to>
      <xdr:col>43</xdr:col>
      <xdr:colOff>157998</xdr:colOff>
      <xdr:row>41</xdr:row>
      <xdr:rowOff>143452</xdr:rowOff>
    </xdr:to>
    <xdr:sp macro="" textlink="">
      <xdr:nvSpPr>
        <xdr:cNvPr id="126" name="角丸四角形吹き出し 125">
          <a:extLst>
            <a:ext uri="{FF2B5EF4-FFF2-40B4-BE49-F238E27FC236}">
              <a16:creationId xmlns:a16="http://schemas.microsoft.com/office/drawing/2014/main" id="{00000000-0008-0000-0000-00007E000000}"/>
            </a:ext>
          </a:extLst>
        </xdr:cNvPr>
        <xdr:cNvSpPr/>
      </xdr:nvSpPr>
      <xdr:spPr>
        <a:xfrm>
          <a:off x="8673347" y="11519662"/>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38</xdr:col>
      <xdr:colOff>118779</xdr:colOff>
      <xdr:row>96</xdr:row>
      <xdr:rowOff>214456</xdr:rowOff>
    </xdr:from>
    <xdr:ext cx="2109232" cy="304058"/>
    <xdr:sp macro="" textlink="">
      <xdr:nvSpPr>
        <xdr:cNvPr id="127" name="線吹き出し 1 (枠付き) 126">
          <a:extLst>
            <a:ext uri="{FF2B5EF4-FFF2-40B4-BE49-F238E27FC236}">
              <a16:creationId xmlns:a16="http://schemas.microsoft.com/office/drawing/2014/main" id="{00000000-0008-0000-0000-00007F000000}"/>
            </a:ext>
          </a:extLst>
        </xdr:cNvPr>
        <xdr:cNvSpPr/>
      </xdr:nvSpPr>
      <xdr:spPr>
        <a:xfrm>
          <a:off x="9912720" y="24564838"/>
          <a:ext cx="2109232" cy="304058"/>
        </a:xfrm>
        <a:prstGeom prst="borderCallout1">
          <a:avLst>
            <a:gd name="adj1" fmla="val 2221"/>
            <a:gd name="adj2" fmla="val 94229"/>
            <a:gd name="adj3" fmla="val -230570"/>
            <a:gd name="adj4" fmla="val 87755"/>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44</xdr:col>
      <xdr:colOff>224125</xdr:colOff>
      <xdr:row>92</xdr:row>
      <xdr:rowOff>44824</xdr:rowOff>
    </xdr:from>
    <xdr:to>
      <xdr:col>45</xdr:col>
      <xdr:colOff>156890</xdr:colOff>
      <xdr:row>95</xdr:row>
      <xdr:rowOff>164984</xdr:rowOff>
    </xdr:to>
    <xdr:sp macro="" textlink="">
      <xdr:nvSpPr>
        <xdr:cNvPr id="132" name="右中かっこ 131">
          <a:extLst>
            <a:ext uri="{FF2B5EF4-FFF2-40B4-BE49-F238E27FC236}">
              <a16:creationId xmlns:a16="http://schemas.microsoft.com/office/drawing/2014/main" id="{00000000-0008-0000-0000-000084000000}"/>
            </a:ext>
          </a:extLst>
        </xdr:cNvPr>
        <xdr:cNvSpPr/>
      </xdr:nvSpPr>
      <xdr:spPr>
        <a:xfrm>
          <a:off x="11564478" y="23498736"/>
          <a:ext cx="190500" cy="792513"/>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32</xdr:row>
      <xdr:rowOff>205154</xdr:rowOff>
    </xdr:from>
    <xdr:ext cx="277888" cy="169405"/>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2056667"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2056667"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32</xdr:row>
      <xdr:rowOff>205154</xdr:rowOff>
    </xdr:from>
    <xdr:ext cx="277888" cy="169405"/>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3343275" y="785372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3343275" y="79577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32</xdr:row>
      <xdr:rowOff>207065</xdr:rowOff>
    </xdr:from>
    <xdr:ext cx="277888" cy="169405"/>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7441095" y="785564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7486236" y="795503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7</xdr:col>
      <xdr:colOff>256442</xdr:colOff>
      <xdr:row>49</xdr:row>
      <xdr:rowOff>205154</xdr:rowOff>
    </xdr:from>
    <xdr:ext cx="277888" cy="169405"/>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49</xdr:row>
      <xdr:rowOff>205154</xdr:rowOff>
    </xdr:from>
    <xdr:ext cx="277888" cy="169405"/>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335055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335055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5412441" y="781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9536206" y="781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49</xdr:row>
      <xdr:rowOff>207065</xdr:rowOff>
    </xdr:from>
    <xdr:ext cx="277888" cy="169405"/>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7456783" y="779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50</xdr:row>
      <xdr:rowOff>77856</xdr:rowOff>
    </xdr:from>
    <xdr:ext cx="226591" cy="169405"/>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7502485" y="788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twoCellAnchor>
    <xdr:from>
      <xdr:col>23</xdr:col>
      <xdr:colOff>134473</xdr:colOff>
      <xdr:row>49</xdr:row>
      <xdr:rowOff>134495</xdr:rowOff>
    </xdr:from>
    <xdr:to>
      <xdr:col>30</xdr:col>
      <xdr:colOff>56024</xdr:colOff>
      <xdr:row>52</xdr:row>
      <xdr:rowOff>56041</xdr:rowOff>
    </xdr:to>
    <xdr:sp macro="" textlink="">
      <xdr:nvSpPr>
        <xdr:cNvPr id="118" name="角丸四角形吹き出し 117">
          <a:extLst>
            <a:ext uri="{FF2B5EF4-FFF2-40B4-BE49-F238E27FC236}">
              <a16:creationId xmlns:a16="http://schemas.microsoft.com/office/drawing/2014/main" id="{00000000-0008-0000-0000-000076000000}"/>
            </a:ext>
          </a:extLst>
        </xdr:cNvPr>
        <xdr:cNvSpPr/>
      </xdr:nvSpPr>
      <xdr:spPr>
        <a:xfrm>
          <a:off x="6062385" y="11530877"/>
          <a:ext cx="1725698" cy="593899"/>
        </a:xfrm>
        <a:prstGeom prst="wedgeRoundRectCallout">
          <a:avLst>
            <a:gd name="adj1" fmla="val -21717"/>
            <a:gd name="adj2" fmla="val -6294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256442</xdr:colOff>
      <xdr:row>68</xdr:row>
      <xdr:rowOff>205154</xdr:rowOff>
    </xdr:from>
    <xdr:ext cx="277888" cy="169405"/>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206058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206058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68</xdr:row>
      <xdr:rowOff>205154</xdr:rowOff>
    </xdr:from>
    <xdr:ext cx="277888" cy="169405"/>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3350559" y="1160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3350559" y="1170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5412441" y="1162050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9536206" y="1162050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oneCellAnchor>
    <xdr:from>
      <xdr:col>28</xdr:col>
      <xdr:colOff>240195</xdr:colOff>
      <xdr:row>68</xdr:row>
      <xdr:rowOff>207065</xdr:rowOff>
    </xdr:from>
    <xdr:ext cx="277888" cy="169405"/>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7456783" y="11603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69</xdr:row>
      <xdr:rowOff>77856</xdr:rowOff>
    </xdr:from>
    <xdr:ext cx="226591" cy="169405"/>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7502485" y="1169835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8</xdr:col>
      <xdr:colOff>0</xdr:colOff>
      <xdr:row>117</xdr:row>
      <xdr:rowOff>1678</xdr:rowOff>
    </xdr:from>
    <xdr:ext cx="188119" cy="190565"/>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057400" y="266240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57" name="テキスト ボックス 156">
          <a:extLst>
            <a:ext uri="{FF2B5EF4-FFF2-40B4-BE49-F238E27FC236}">
              <a16:creationId xmlns:a16="http://schemas.microsoft.com/office/drawing/2014/main" id="{00000000-0008-0000-0000-00009D000000}"/>
            </a:ext>
          </a:extLst>
        </xdr:cNvPr>
        <xdr:cNvSpPr txBox="1"/>
      </xdr:nvSpPr>
      <xdr:spPr>
        <a:xfrm>
          <a:off x="4114800" y="266223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58" name="テキスト ボックス 157">
          <a:extLst>
            <a:ext uri="{FF2B5EF4-FFF2-40B4-BE49-F238E27FC236}">
              <a16:creationId xmlns:a16="http://schemas.microsoft.com/office/drawing/2014/main" id="{00000000-0008-0000-0000-00009E000000}"/>
            </a:ext>
          </a:extLst>
        </xdr:cNvPr>
        <xdr:cNvSpPr txBox="1"/>
      </xdr:nvSpPr>
      <xdr:spPr>
        <a:xfrm>
          <a:off x="2057400" y="27500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59" name="テキスト ボックス 158">
          <a:extLst>
            <a:ext uri="{FF2B5EF4-FFF2-40B4-BE49-F238E27FC236}">
              <a16:creationId xmlns:a16="http://schemas.microsoft.com/office/drawing/2014/main" id="{00000000-0008-0000-0000-00009F000000}"/>
            </a:ext>
          </a:extLst>
        </xdr:cNvPr>
        <xdr:cNvSpPr txBox="1"/>
      </xdr:nvSpPr>
      <xdr:spPr>
        <a:xfrm>
          <a:off x="4114800" y="274986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17761" name="Option Button 1" hidden="1">
              <a:extLst>
                <a:ext uri="{63B3BB69-23CF-44E3-9099-C40C66FF867C}">
                  <a14:compatExt spid="_x0000_s117761"/>
                </a:ext>
                <a:ext uri="{FF2B5EF4-FFF2-40B4-BE49-F238E27FC236}">
                  <a16:creationId xmlns:a16="http://schemas.microsoft.com/office/drawing/2014/main" id="{00000000-0008-0000-09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17762" name="Option Button 2" hidden="1">
              <a:extLst>
                <a:ext uri="{63B3BB69-23CF-44E3-9099-C40C66FF867C}">
                  <a14:compatExt spid="_x0000_s117762"/>
                </a:ext>
                <a:ext uri="{FF2B5EF4-FFF2-40B4-BE49-F238E27FC236}">
                  <a16:creationId xmlns:a16="http://schemas.microsoft.com/office/drawing/2014/main" id="{00000000-0008-0000-09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17763" name="Option Button 3" hidden="1">
              <a:extLst>
                <a:ext uri="{63B3BB69-23CF-44E3-9099-C40C66FF867C}">
                  <a14:compatExt spid="_x0000_s117763"/>
                </a:ext>
                <a:ext uri="{FF2B5EF4-FFF2-40B4-BE49-F238E27FC236}">
                  <a16:creationId xmlns:a16="http://schemas.microsoft.com/office/drawing/2014/main" id="{00000000-0008-0000-09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17764" name="Option Button 4" hidden="1">
              <a:extLst>
                <a:ext uri="{63B3BB69-23CF-44E3-9099-C40C66FF867C}">
                  <a14:compatExt spid="_x0000_s117764"/>
                </a:ext>
                <a:ext uri="{FF2B5EF4-FFF2-40B4-BE49-F238E27FC236}">
                  <a16:creationId xmlns:a16="http://schemas.microsoft.com/office/drawing/2014/main" id="{00000000-0008-0000-09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17765" name="Option Button 5" hidden="1">
              <a:extLst>
                <a:ext uri="{63B3BB69-23CF-44E3-9099-C40C66FF867C}">
                  <a14:compatExt spid="_x0000_s117765"/>
                </a:ext>
                <a:ext uri="{FF2B5EF4-FFF2-40B4-BE49-F238E27FC236}">
                  <a16:creationId xmlns:a16="http://schemas.microsoft.com/office/drawing/2014/main" id="{00000000-0008-0000-09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17766" name="Option Button 6" hidden="1">
              <a:extLst>
                <a:ext uri="{63B3BB69-23CF-44E3-9099-C40C66FF867C}">
                  <a14:compatExt spid="_x0000_s117766"/>
                </a:ext>
                <a:ext uri="{FF2B5EF4-FFF2-40B4-BE49-F238E27FC236}">
                  <a16:creationId xmlns:a16="http://schemas.microsoft.com/office/drawing/2014/main" id="{00000000-0008-0000-09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17767" name="Option Button 7" hidden="1">
              <a:extLst>
                <a:ext uri="{63B3BB69-23CF-44E3-9099-C40C66FF867C}">
                  <a14:compatExt spid="_x0000_s117767"/>
                </a:ext>
                <a:ext uri="{FF2B5EF4-FFF2-40B4-BE49-F238E27FC236}">
                  <a16:creationId xmlns:a16="http://schemas.microsoft.com/office/drawing/2014/main" id="{00000000-0008-0000-09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17768" name="Option Button 8" hidden="1">
              <a:extLst>
                <a:ext uri="{63B3BB69-23CF-44E3-9099-C40C66FF867C}">
                  <a14:compatExt spid="_x0000_s117768"/>
                </a:ext>
                <a:ext uri="{FF2B5EF4-FFF2-40B4-BE49-F238E27FC236}">
                  <a16:creationId xmlns:a16="http://schemas.microsoft.com/office/drawing/2014/main" id="{00000000-0008-0000-09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17769" name="Option Button 9" hidden="1">
              <a:extLst>
                <a:ext uri="{63B3BB69-23CF-44E3-9099-C40C66FF867C}">
                  <a14:compatExt spid="_x0000_s117769"/>
                </a:ext>
                <a:ext uri="{FF2B5EF4-FFF2-40B4-BE49-F238E27FC236}">
                  <a16:creationId xmlns:a16="http://schemas.microsoft.com/office/drawing/2014/main" id="{00000000-0008-0000-09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17770" name="Option Button 10" hidden="1">
              <a:extLst>
                <a:ext uri="{63B3BB69-23CF-44E3-9099-C40C66FF867C}">
                  <a14:compatExt spid="_x0000_s117770"/>
                </a:ext>
                <a:ext uri="{FF2B5EF4-FFF2-40B4-BE49-F238E27FC236}">
                  <a16:creationId xmlns:a16="http://schemas.microsoft.com/office/drawing/2014/main" id="{00000000-0008-0000-09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17771" name="Option Button 11" hidden="1">
              <a:extLst>
                <a:ext uri="{63B3BB69-23CF-44E3-9099-C40C66FF867C}">
                  <a14:compatExt spid="_x0000_s117771"/>
                </a:ext>
                <a:ext uri="{FF2B5EF4-FFF2-40B4-BE49-F238E27FC236}">
                  <a16:creationId xmlns:a16="http://schemas.microsoft.com/office/drawing/2014/main" id="{00000000-0008-0000-09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17772" name="Option Button 12" hidden="1">
              <a:extLst>
                <a:ext uri="{63B3BB69-23CF-44E3-9099-C40C66FF867C}">
                  <a14:compatExt spid="_x0000_s117772"/>
                </a:ext>
                <a:ext uri="{FF2B5EF4-FFF2-40B4-BE49-F238E27FC236}">
                  <a16:creationId xmlns:a16="http://schemas.microsoft.com/office/drawing/2014/main" id="{00000000-0008-0000-09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17773" name="Option Button 13" hidden="1">
              <a:extLst>
                <a:ext uri="{63B3BB69-23CF-44E3-9099-C40C66FF867C}">
                  <a14:compatExt spid="_x0000_s117773"/>
                </a:ext>
                <a:ext uri="{FF2B5EF4-FFF2-40B4-BE49-F238E27FC236}">
                  <a16:creationId xmlns:a16="http://schemas.microsoft.com/office/drawing/2014/main" id="{00000000-0008-0000-0900-00000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17774" name="Option Button 14" hidden="1">
              <a:extLst>
                <a:ext uri="{63B3BB69-23CF-44E3-9099-C40C66FF867C}">
                  <a14:compatExt spid="_x0000_s117774"/>
                </a:ext>
                <a:ext uri="{FF2B5EF4-FFF2-40B4-BE49-F238E27FC236}">
                  <a16:creationId xmlns:a16="http://schemas.microsoft.com/office/drawing/2014/main" id="{00000000-0008-0000-09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17775" name="Option Button 15" hidden="1">
              <a:extLst>
                <a:ext uri="{63B3BB69-23CF-44E3-9099-C40C66FF867C}">
                  <a14:compatExt spid="_x0000_s117775"/>
                </a:ext>
                <a:ext uri="{FF2B5EF4-FFF2-40B4-BE49-F238E27FC236}">
                  <a16:creationId xmlns:a16="http://schemas.microsoft.com/office/drawing/2014/main" id="{00000000-0008-0000-09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17776" name="Option Button 16" hidden="1">
              <a:extLst>
                <a:ext uri="{63B3BB69-23CF-44E3-9099-C40C66FF867C}">
                  <a14:compatExt spid="_x0000_s117776"/>
                </a:ext>
                <a:ext uri="{FF2B5EF4-FFF2-40B4-BE49-F238E27FC236}">
                  <a16:creationId xmlns:a16="http://schemas.microsoft.com/office/drawing/2014/main" id="{00000000-0008-0000-0900-00001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17777" name="Option Button 17" hidden="1">
              <a:extLst>
                <a:ext uri="{63B3BB69-23CF-44E3-9099-C40C66FF867C}">
                  <a14:compatExt spid="_x0000_s117777"/>
                </a:ext>
                <a:ext uri="{FF2B5EF4-FFF2-40B4-BE49-F238E27FC236}">
                  <a16:creationId xmlns:a16="http://schemas.microsoft.com/office/drawing/2014/main" id="{00000000-0008-0000-0900-00001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17778" name="Option Button 18" hidden="1">
              <a:extLst>
                <a:ext uri="{63B3BB69-23CF-44E3-9099-C40C66FF867C}">
                  <a14:compatExt spid="_x0000_s117778"/>
                </a:ext>
                <a:ext uri="{FF2B5EF4-FFF2-40B4-BE49-F238E27FC236}">
                  <a16:creationId xmlns:a16="http://schemas.microsoft.com/office/drawing/2014/main" id="{00000000-0008-0000-0900-00001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17779" name="Option Button 19" hidden="1">
              <a:extLst>
                <a:ext uri="{63B3BB69-23CF-44E3-9099-C40C66FF867C}">
                  <a14:compatExt spid="_x0000_s117779"/>
                </a:ext>
                <a:ext uri="{FF2B5EF4-FFF2-40B4-BE49-F238E27FC236}">
                  <a16:creationId xmlns:a16="http://schemas.microsoft.com/office/drawing/2014/main" id="{00000000-0008-0000-0900-00001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17780" name="Option Button 20" hidden="1">
              <a:extLst>
                <a:ext uri="{63B3BB69-23CF-44E3-9099-C40C66FF867C}">
                  <a14:compatExt spid="_x0000_s117780"/>
                </a:ext>
                <a:ext uri="{FF2B5EF4-FFF2-40B4-BE49-F238E27FC236}">
                  <a16:creationId xmlns:a16="http://schemas.microsoft.com/office/drawing/2014/main" id="{00000000-0008-0000-0900-00001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17781" name="Option Button 21" hidden="1">
              <a:extLst>
                <a:ext uri="{63B3BB69-23CF-44E3-9099-C40C66FF867C}">
                  <a14:compatExt spid="_x0000_s117781"/>
                </a:ext>
                <a:ext uri="{FF2B5EF4-FFF2-40B4-BE49-F238E27FC236}">
                  <a16:creationId xmlns:a16="http://schemas.microsoft.com/office/drawing/2014/main" id="{00000000-0008-0000-0900-00001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17782" name="Option Button 22" hidden="1">
              <a:extLst>
                <a:ext uri="{63B3BB69-23CF-44E3-9099-C40C66FF867C}">
                  <a14:compatExt spid="_x0000_s117782"/>
                </a:ext>
                <a:ext uri="{FF2B5EF4-FFF2-40B4-BE49-F238E27FC236}">
                  <a16:creationId xmlns:a16="http://schemas.microsoft.com/office/drawing/2014/main" id="{00000000-0008-0000-0900-00001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17783" name="Option Button 23" hidden="1">
              <a:extLst>
                <a:ext uri="{63B3BB69-23CF-44E3-9099-C40C66FF867C}">
                  <a14:compatExt spid="_x0000_s117783"/>
                </a:ext>
                <a:ext uri="{FF2B5EF4-FFF2-40B4-BE49-F238E27FC236}">
                  <a16:creationId xmlns:a16="http://schemas.microsoft.com/office/drawing/2014/main" id="{00000000-0008-0000-0900-00001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17784" name="Option Button 24" hidden="1">
              <a:extLst>
                <a:ext uri="{63B3BB69-23CF-44E3-9099-C40C66FF867C}">
                  <a14:compatExt spid="_x0000_s117784"/>
                </a:ext>
                <a:ext uri="{FF2B5EF4-FFF2-40B4-BE49-F238E27FC236}">
                  <a16:creationId xmlns:a16="http://schemas.microsoft.com/office/drawing/2014/main" id="{00000000-0008-0000-0900-00001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17785" name="Option Button 25" hidden="1">
              <a:extLst>
                <a:ext uri="{63B3BB69-23CF-44E3-9099-C40C66FF867C}">
                  <a14:compatExt spid="_x0000_s117785"/>
                </a:ext>
                <a:ext uri="{FF2B5EF4-FFF2-40B4-BE49-F238E27FC236}">
                  <a16:creationId xmlns:a16="http://schemas.microsoft.com/office/drawing/2014/main" id="{00000000-0008-0000-0900-00001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17786" name="Option Button 26" hidden="1">
              <a:extLst>
                <a:ext uri="{63B3BB69-23CF-44E3-9099-C40C66FF867C}">
                  <a14:compatExt spid="_x0000_s117786"/>
                </a:ext>
                <a:ext uri="{FF2B5EF4-FFF2-40B4-BE49-F238E27FC236}">
                  <a16:creationId xmlns:a16="http://schemas.microsoft.com/office/drawing/2014/main" id="{00000000-0008-0000-0900-00001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17787" name="Option Button 27" hidden="1">
              <a:extLst>
                <a:ext uri="{63B3BB69-23CF-44E3-9099-C40C66FF867C}">
                  <a14:compatExt spid="_x0000_s117787"/>
                </a:ext>
                <a:ext uri="{FF2B5EF4-FFF2-40B4-BE49-F238E27FC236}">
                  <a16:creationId xmlns:a16="http://schemas.microsoft.com/office/drawing/2014/main" id="{00000000-0008-0000-0900-00001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17788" name="Option Button 28" hidden="1">
              <a:extLst>
                <a:ext uri="{63B3BB69-23CF-44E3-9099-C40C66FF867C}">
                  <a14:compatExt spid="_x0000_s117788"/>
                </a:ext>
                <a:ext uri="{FF2B5EF4-FFF2-40B4-BE49-F238E27FC236}">
                  <a16:creationId xmlns:a16="http://schemas.microsoft.com/office/drawing/2014/main" id="{00000000-0008-0000-0900-00001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17789" name="Option Button 29" hidden="1">
              <a:extLst>
                <a:ext uri="{63B3BB69-23CF-44E3-9099-C40C66FF867C}">
                  <a14:compatExt spid="_x0000_s117789"/>
                </a:ext>
                <a:ext uri="{FF2B5EF4-FFF2-40B4-BE49-F238E27FC236}">
                  <a16:creationId xmlns:a16="http://schemas.microsoft.com/office/drawing/2014/main" id="{00000000-0008-0000-0900-00001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17790" name="Option Button 30" hidden="1">
              <a:extLst>
                <a:ext uri="{63B3BB69-23CF-44E3-9099-C40C66FF867C}">
                  <a14:compatExt spid="_x0000_s117790"/>
                </a:ext>
                <a:ext uri="{FF2B5EF4-FFF2-40B4-BE49-F238E27FC236}">
                  <a16:creationId xmlns:a16="http://schemas.microsoft.com/office/drawing/2014/main" id="{00000000-0008-0000-0900-00001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17791" name="Option Button 31" hidden="1">
              <a:extLst>
                <a:ext uri="{63B3BB69-23CF-44E3-9099-C40C66FF867C}">
                  <a14:compatExt spid="_x0000_s117791"/>
                </a:ext>
                <a:ext uri="{FF2B5EF4-FFF2-40B4-BE49-F238E27FC236}">
                  <a16:creationId xmlns:a16="http://schemas.microsoft.com/office/drawing/2014/main" id="{00000000-0008-0000-0900-00001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17792" name="Option Button 32" hidden="1">
              <a:extLst>
                <a:ext uri="{63B3BB69-23CF-44E3-9099-C40C66FF867C}">
                  <a14:compatExt spid="_x0000_s117792"/>
                </a:ext>
                <a:ext uri="{FF2B5EF4-FFF2-40B4-BE49-F238E27FC236}">
                  <a16:creationId xmlns:a16="http://schemas.microsoft.com/office/drawing/2014/main" id="{00000000-0008-0000-0900-00002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17793" name="Option Button 33" hidden="1">
              <a:extLst>
                <a:ext uri="{63B3BB69-23CF-44E3-9099-C40C66FF867C}">
                  <a14:compatExt spid="_x0000_s117793"/>
                </a:ext>
                <a:ext uri="{FF2B5EF4-FFF2-40B4-BE49-F238E27FC236}">
                  <a16:creationId xmlns:a16="http://schemas.microsoft.com/office/drawing/2014/main" id="{00000000-0008-0000-0900-00002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17794" name="Option Button 34" hidden="1">
              <a:extLst>
                <a:ext uri="{63B3BB69-23CF-44E3-9099-C40C66FF867C}">
                  <a14:compatExt spid="_x0000_s117794"/>
                </a:ext>
                <a:ext uri="{FF2B5EF4-FFF2-40B4-BE49-F238E27FC236}">
                  <a16:creationId xmlns:a16="http://schemas.microsoft.com/office/drawing/2014/main" id="{00000000-0008-0000-0900-00002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17795" name="Option Button 35" hidden="1">
              <a:extLst>
                <a:ext uri="{63B3BB69-23CF-44E3-9099-C40C66FF867C}">
                  <a14:compatExt spid="_x0000_s117795"/>
                </a:ext>
                <a:ext uri="{FF2B5EF4-FFF2-40B4-BE49-F238E27FC236}">
                  <a16:creationId xmlns:a16="http://schemas.microsoft.com/office/drawing/2014/main" id="{00000000-0008-0000-0900-00002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17796" name="Option Button 36" hidden="1">
              <a:extLst>
                <a:ext uri="{63B3BB69-23CF-44E3-9099-C40C66FF867C}">
                  <a14:compatExt spid="_x0000_s117796"/>
                </a:ext>
                <a:ext uri="{FF2B5EF4-FFF2-40B4-BE49-F238E27FC236}">
                  <a16:creationId xmlns:a16="http://schemas.microsoft.com/office/drawing/2014/main" id="{00000000-0008-0000-0900-00002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17797" name="Option Button 37" hidden="1">
              <a:extLst>
                <a:ext uri="{63B3BB69-23CF-44E3-9099-C40C66FF867C}">
                  <a14:compatExt spid="_x0000_s117797"/>
                </a:ext>
                <a:ext uri="{FF2B5EF4-FFF2-40B4-BE49-F238E27FC236}">
                  <a16:creationId xmlns:a16="http://schemas.microsoft.com/office/drawing/2014/main" id="{00000000-0008-0000-0900-00002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17798" name="Option Button 38" hidden="1">
              <a:extLst>
                <a:ext uri="{63B3BB69-23CF-44E3-9099-C40C66FF867C}">
                  <a14:compatExt spid="_x0000_s117798"/>
                </a:ext>
                <a:ext uri="{FF2B5EF4-FFF2-40B4-BE49-F238E27FC236}">
                  <a16:creationId xmlns:a16="http://schemas.microsoft.com/office/drawing/2014/main" id="{00000000-0008-0000-0900-00002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17799" name="Option Button 39" hidden="1">
              <a:extLst>
                <a:ext uri="{63B3BB69-23CF-44E3-9099-C40C66FF867C}">
                  <a14:compatExt spid="_x0000_s117799"/>
                </a:ext>
                <a:ext uri="{FF2B5EF4-FFF2-40B4-BE49-F238E27FC236}">
                  <a16:creationId xmlns:a16="http://schemas.microsoft.com/office/drawing/2014/main" id="{00000000-0008-0000-0900-00002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17800" name="Option Button 40" hidden="1">
              <a:extLst>
                <a:ext uri="{63B3BB69-23CF-44E3-9099-C40C66FF867C}">
                  <a14:compatExt spid="_x0000_s117800"/>
                </a:ext>
                <a:ext uri="{FF2B5EF4-FFF2-40B4-BE49-F238E27FC236}">
                  <a16:creationId xmlns:a16="http://schemas.microsoft.com/office/drawing/2014/main" id="{00000000-0008-0000-0900-00002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17801" name="Option Button 41" hidden="1">
              <a:extLst>
                <a:ext uri="{63B3BB69-23CF-44E3-9099-C40C66FF867C}">
                  <a14:compatExt spid="_x0000_s117801"/>
                </a:ext>
                <a:ext uri="{FF2B5EF4-FFF2-40B4-BE49-F238E27FC236}">
                  <a16:creationId xmlns:a16="http://schemas.microsoft.com/office/drawing/2014/main" id="{00000000-0008-0000-0900-00002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984250</xdr:colOff>
          <xdr:row>47</xdr:row>
          <xdr:rowOff>184150</xdr:rowOff>
        </xdr:to>
        <xdr:sp macro="" textlink="">
          <xdr:nvSpPr>
            <xdr:cNvPr id="117802" name="Option Button 42" hidden="1">
              <a:extLst>
                <a:ext uri="{63B3BB69-23CF-44E3-9099-C40C66FF867C}">
                  <a14:compatExt spid="_x0000_s117802"/>
                </a:ext>
                <a:ext uri="{FF2B5EF4-FFF2-40B4-BE49-F238E27FC236}">
                  <a16:creationId xmlns:a16="http://schemas.microsoft.com/office/drawing/2014/main" id="{00000000-0008-0000-0900-00002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984250</xdr:colOff>
          <xdr:row>48</xdr:row>
          <xdr:rowOff>184150</xdr:rowOff>
        </xdr:to>
        <xdr:sp macro="" textlink="">
          <xdr:nvSpPr>
            <xdr:cNvPr id="117803" name="Option Button 43" hidden="1">
              <a:extLst>
                <a:ext uri="{63B3BB69-23CF-44E3-9099-C40C66FF867C}">
                  <a14:compatExt spid="_x0000_s117803"/>
                </a:ext>
                <a:ext uri="{FF2B5EF4-FFF2-40B4-BE49-F238E27FC236}">
                  <a16:creationId xmlns:a16="http://schemas.microsoft.com/office/drawing/2014/main" id="{00000000-0008-0000-0900-00002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984250</xdr:colOff>
          <xdr:row>49</xdr:row>
          <xdr:rowOff>184150</xdr:rowOff>
        </xdr:to>
        <xdr:sp macro="" textlink="">
          <xdr:nvSpPr>
            <xdr:cNvPr id="117804" name="Option Button 44" hidden="1">
              <a:extLst>
                <a:ext uri="{63B3BB69-23CF-44E3-9099-C40C66FF867C}">
                  <a14:compatExt spid="_x0000_s117804"/>
                </a:ext>
                <a:ext uri="{FF2B5EF4-FFF2-40B4-BE49-F238E27FC236}">
                  <a16:creationId xmlns:a16="http://schemas.microsoft.com/office/drawing/2014/main" id="{00000000-0008-0000-0900-00002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984250</xdr:colOff>
          <xdr:row>50</xdr:row>
          <xdr:rowOff>184150</xdr:rowOff>
        </xdr:to>
        <xdr:sp macro="" textlink="">
          <xdr:nvSpPr>
            <xdr:cNvPr id="117805" name="Option Button 45" hidden="1">
              <a:extLst>
                <a:ext uri="{63B3BB69-23CF-44E3-9099-C40C66FF867C}">
                  <a14:compatExt spid="_x0000_s117805"/>
                </a:ext>
                <a:ext uri="{FF2B5EF4-FFF2-40B4-BE49-F238E27FC236}">
                  <a16:creationId xmlns:a16="http://schemas.microsoft.com/office/drawing/2014/main" id="{00000000-0008-0000-0900-00002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984250</xdr:colOff>
          <xdr:row>51</xdr:row>
          <xdr:rowOff>184150</xdr:rowOff>
        </xdr:to>
        <xdr:sp macro="" textlink="">
          <xdr:nvSpPr>
            <xdr:cNvPr id="117806" name="Option Button 46" hidden="1">
              <a:extLst>
                <a:ext uri="{63B3BB69-23CF-44E3-9099-C40C66FF867C}">
                  <a14:compatExt spid="_x0000_s117806"/>
                </a:ext>
                <a:ext uri="{FF2B5EF4-FFF2-40B4-BE49-F238E27FC236}">
                  <a16:creationId xmlns:a16="http://schemas.microsoft.com/office/drawing/2014/main" id="{00000000-0008-0000-0900-00002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984250</xdr:colOff>
          <xdr:row>52</xdr:row>
          <xdr:rowOff>184150</xdr:rowOff>
        </xdr:to>
        <xdr:sp macro="" textlink="">
          <xdr:nvSpPr>
            <xdr:cNvPr id="117807" name="Option Button 47" hidden="1">
              <a:extLst>
                <a:ext uri="{63B3BB69-23CF-44E3-9099-C40C66FF867C}">
                  <a14:compatExt spid="_x0000_s117807"/>
                </a:ext>
                <a:ext uri="{FF2B5EF4-FFF2-40B4-BE49-F238E27FC236}">
                  <a16:creationId xmlns:a16="http://schemas.microsoft.com/office/drawing/2014/main" id="{00000000-0008-0000-0900-00002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984250</xdr:colOff>
          <xdr:row>53</xdr:row>
          <xdr:rowOff>184150</xdr:rowOff>
        </xdr:to>
        <xdr:sp macro="" textlink="">
          <xdr:nvSpPr>
            <xdr:cNvPr id="117808" name="Option Button 48" hidden="1">
              <a:extLst>
                <a:ext uri="{63B3BB69-23CF-44E3-9099-C40C66FF867C}">
                  <a14:compatExt spid="_x0000_s117808"/>
                </a:ext>
                <a:ext uri="{FF2B5EF4-FFF2-40B4-BE49-F238E27FC236}">
                  <a16:creationId xmlns:a16="http://schemas.microsoft.com/office/drawing/2014/main" id="{00000000-0008-0000-0900-00003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984250</xdr:colOff>
          <xdr:row>54</xdr:row>
          <xdr:rowOff>184150</xdr:rowOff>
        </xdr:to>
        <xdr:sp macro="" textlink="">
          <xdr:nvSpPr>
            <xdr:cNvPr id="117809" name="Option Button 49" hidden="1">
              <a:extLst>
                <a:ext uri="{63B3BB69-23CF-44E3-9099-C40C66FF867C}">
                  <a14:compatExt spid="_x0000_s117809"/>
                </a:ext>
                <a:ext uri="{FF2B5EF4-FFF2-40B4-BE49-F238E27FC236}">
                  <a16:creationId xmlns:a16="http://schemas.microsoft.com/office/drawing/2014/main" id="{00000000-0008-0000-0900-00003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984250</xdr:colOff>
          <xdr:row>55</xdr:row>
          <xdr:rowOff>184150</xdr:rowOff>
        </xdr:to>
        <xdr:sp macro="" textlink="">
          <xdr:nvSpPr>
            <xdr:cNvPr id="117810" name="Option Button 50" hidden="1">
              <a:extLst>
                <a:ext uri="{63B3BB69-23CF-44E3-9099-C40C66FF867C}">
                  <a14:compatExt spid="_x0000_s117810"/>
                </a:ext>
                <a:ext uri="{FF2B5EF4-FFF2-40B4-BE49-F238E27FC236}">
                  <a16:creationId xmlns:a16="http://schemas.microsoft.com/office/drawing/2014/main" id="{00000000-0008-0000-0900-00003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984250</xdr:colOff>
          <xdr:row>56</xdr:row>
          <xdr:rowOff>184150</xdr:rowOff>
        </xdr:to>
        <xdr:sp macro="" textlink="">
          <xdr:nvSpPr>
            <xdr:cNvPr id="117811" name="Option Button 51" hidden="1">
              <a:extLst>
                <a:ext uri="{63B3BB69-23CF-44E3-9099-C40C66FF867C}">
                  <a14:compatExt spid="_x0000_s117811"/>
                </a:ext>
                <a:ext uri="{FF2B5EF4-FFF2-40B4-BE49-F238E27FC236}">
                  <a16:creationId xmlns:a16="http://schemas.microsoft.com/office/drawing/2014/main" id="{00000000-0008-0000-0900-00003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984250</xdr:colOff>
          <xdr:row>57</xdr:row>
          <xdr:rowOff>184150</xdr:rowOff>
        </xdr:to>
        <xdr:sp macro="" textlink="">
          <xdr:nvSpPr>
            <xdr:cNvPr id="117812" name="Option Button 52" hidden="1">
              <a:extLst>
                <a:ext uri="{63B3BB69-23CF-44E3-9099-C40C66FF867C}">
                  <a14:compatExt spid="_x0000_s117812"/>
                </a:ext>
                <a:ext uri="{FF2B5EF4-FFF2-40B4-BE49-F238E27FC236}">
                  <a16:creationId xmlns:a16="http://schemas.microsoft.com/office/drawing/2014/main" id="{00000000-0008-0000-0900-00003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984250</xdr:colOff>
          <xdr:row>58</xdr:row>
          <xdr:rowOff>184150</xdr:rowOff>
        </xdr:to>
        <xdr:sp macro="" textlink="">
          <xdr:nvSpPr>
            <xdr:cNvPr id="117813" name="Option Button 53" hidden="1">
              <a:extLst>
                <a:ext uri="{63B3BB69-23CF-44E3-9099-C40C66FF867C}">
                  <a14:compatExt spid="_x0000_s117813"/>
                </a:ext>
                <a:ext uri="{FF2B5EF4-FFF2-40B4-BE49-F238E27FC236}">
                  <a16:creationId xmlns:a16="http://schemas.microsoft.com/office/drawing/2014/main" id="{00000000-0008-0000-0900-00003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984250</xdr:colOff>
          <xdr:row>59</xdr:row>
          <xdr:rowOff>184150</xdr:rowOff>
        </xdr:to>
        <xdr:sp macro="" textlink="">
          <xdr:nvSpPr>
            <xdr:cNvPr id="117814" name="Option Button 54" hidden="1">
              <a:extLst>
                <a:ext uri="{63B3BB69-23CF-44E3-9099-C40C66FF867C}">
                  <a14:compatExt spid="_x0000_s117814"/>
                </a:ext>
                <a:ext uri="{FF2B5EF4-FFF2-40B4-BE49-F238E27FC236}">
                  <a16:creationId xmlns:a16="http://schemas.microsoft.com/office/drawing/2014/main" id="{00000000-0008-0000-0900-00003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984250</xdr:colOff>
          <xdr:row>60</xdr:row>
          <xdr:rowOff>184150</xdr:rowOff>
        </xdr:to>
        <xdr:sp macro="" textlink="">
          <xdr:nvSpPr>
            <xdr:cNvPr id="117815" name="Option Button 55" hidden="1">
              <a:extLst>
                <a:ext uri="{63B3BB69-23CF-44E3-9099-C40C66FF867C}">
                  <a14:compatExt spid="_x0000_s117815"/>
                </a:ext>
                <a:ext uri="{FF2B5EF4-FFF2-40B4-BE49-F238E27FC236}">
                  <a16:creationId xmlns:a16="http://schemas.microsoft.com/office/drawing/2014/main" id="{00000000-0008-0000-0900-00003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984250</xdr:colOff>
          <xdr:row>61</xdr:row>
          <xdr:rowOff>184150</xdr:rowOff>
        </xdr:to>
        <xdr:sp macro="" textlink="">
          <xdr:nvSpPr>
            <xdr:cNvPr id="117816" name="Option Button 56" hidden="1">
              <a:extLst>
                <a:ext uri="{63B3BB69-23CF-44E3-9099-C40C66FF867C}">
                  <a14:compatExt spid="_x0000_s117816"/>
                </a:ext>
                <a:ext uri="{FF2B5EF4-FFF2-40B4-BE49-F238E27FC236}">
                  <a16:creationId xmlns:a16="http://schemas.microsoft.com/office/drawing/2014/main" id="{00000000-0008-0000-0900-00003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984250</xdr:colOff>
          <xdr:row>62</xdr:row>
          <xdr:rowOff>184150</xdr:rowOff>
        </xdr:to>
        <xdr:sp macro="" textlink="">
          <xdr:nvSpPr>
            <xdr:cNvPr id="117817" name="Option Button 57" hidden="1">
              <a:extLst>
                <a:ext uri="{63B3BB69-23CF-44E3-9099-C40C66FF867C}">
                  <a14:compatExt spid="_x0000_s117817"/>
                </a:ext>
                <a:ext uri="{FF2B5EF4-FFF2-40B4-BE49-F238E27FC236}">
                  <a16:creationId xmlns:a16="http://schemas.microsoft.com/office/drawing/2014/main" id="{00000000-0008-0000-0900-00003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17818" name="Option Button 58" hidden="1">
              <a:extLst>
                <a:ext uri="{63B3BB69-23CF-44E3-9099-C40C66FF867C}">
                  <a14:compatExt spid="_x0000_s117818"/>
                </a:ext>
                <a:ext uri="{FF2B5EF4-FFF2-40B4-BE49-F238E27FC236}">
                  <a16:creationId xmlns:a16="http://schemas.microsoft.com/office/drawing/2014/main" id="{00000000-0008-0000-0900-00003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323850</xdr:rowOff>
        </xdr:from>
        <xdr:to>
          <xdr:col>1</xdr:col>
          <xdr:colOff>984250</xdr:colOff>
          <xdr:row>64</xdr:row>
          <xdr:rowOff>476250</xdr:rowOff>
        </xdr:to>
        <xdr:sp macro="" textlink="">
          <xdr:nvSpPr>
            <xdr:cNvPr id="117819" name="Option Button 59" hidden="1">
              <a:extLst>
                <a:ext uri="{63B3BB69-23CF-44E3-9099-C40C66FF867C}">
                  <a14:compatExt spid="_x0000_s117819"/>
                </a:ext>
                <a:ext uri="{FF2B5EF4-FFF2-40B4-BE49-F238E27FC236}">
                  <a16:creationId xmlns:a16="http://schemas.microsoft.com/office/drawing/2014/main" id="{00000000-0008-0000-0900-00003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984250</xdr:colOff>
          <xdr:row>65</xdr:row>
          <xdr:rowOff>184150</xdr:rowOff>
        </xdr:to>
        <xdr:sp macro="" textlink="">
          <xdr:nvSpPr>
            <xdr:cNvPr id="117820" name="Option Button 60" hidden="1">
              <a:extLst>
                <a:ext uri="{63B3BB69-23CF-44E3-9099-C40C66FF867C}">
                  <a14:compatExt spid="_x0000_s117820"/>
                </a:ext>
                <a:ext uri="{FF2B5EF4-FFF2-40B4-BE49-F238E27FC236}">
                  <a16:creationId xmlns:a16="http://schemas.microsoft.com/office/drawing/2014/main" id="{00000000-0008-0000-0900-00003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984250</xdr:colOff>
          <xdr:row>66</xdr:row>
          <xdr:rowOff>184150</xdr:rowOff>
        </xdr:to>
        <xdr:sp macro="" textlink="">
          <xdr:nvSpPr>
            <xdr:cNvPr id="117821" name="Option Button 61" hidden="1">
              <a:extLst>
                <a:ext uri="{63B3BB69-23CF-44E3-9099-C40C66FF867C}">
                  <a14:compatExt spid="_x0000_s117821"/>
                </a:ext>
                <a:ext uri="{FF2B5EF4-FFF2-40B4-BE49-F238E27FC236}">
                  <a16:creationId xmlns:a16="http://schemas.microsoft.com/office/drawing/2014/main" id="{00000000-0008-0000-0900-00003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984250</xdr:colOff>
          <xdr:row>67</xdr:row>
          <xdr:rowOff>184150</xdr:rowOff>
        </xdr:to>
        <xdr:sp macro="" textlink="">
          <xdr:nvSpPr>
            <xdr:cNvPr id="117822" name="Option Button 62" hidden="1">
              <a:extLst>
                <a:ext uri="{63B3BB69-23CF-44E3-9099-C40C66FF867C}">
                  <a14:compatExt spid="_x0000_s117822"/>
                </a:ext>
                <a:ext uri="{FF2B5EF4-FFF2-40B4-BE49-F238E27FC236}">
                  <a16:creationId xmlns:a16="http://schemas.microsoft.com/office/drawing/2014/main" id="{00000000-0008-0000-0900-00003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984250</xdr:colOff>
          <xdr:row>68</xdr:row>
          <xdr:rowOff>184150</xdr:rowOff>
        </xdr:to>
        <xdr:sp macro="" textlink="">
          <xdr:nvSpPr>
            <xdr:cNvPr id="117823" name="Option Button 63" hidden="1">
              <a:extLst>
                <a:ext uri="{63B3BB69-23CF-44E3-9099-C40C66FF867C}">
                  <a14:compatExt spid="_x0000_s117823"/>
                </a:ext>
                <a:ext uri="{FF2B5EF4-FFF2-40B4-BE49-F238E27FC236}">
                  <a16:creationId xmlns:a16="http://schemas.microsoft.com/office/drawing/2014/main" id="{00000000-0008-0000-0900-00003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984250</xdr:colOff>
          <xdr:row>69</xdr:row>
          <xdr:rowOff>184150</xdr:rowOff>
        </xdr:to>
        <xdr:sp macro="" textlink="">
          <xdr:nvSpPr>
            <xdr:cNvPr id="117824" name="Option Button 64" hidden="1">
              <a:extLst>
                <a:ext uri="{63B3BB69-23CF-44E3-9099-C40C66FF867C}">
                  <a14:compatExt spid="_x0000_s117824"/>
                </a:ext>
                <a:ext uri="{FF2B5EF4-FFF2-40B4-BE49-F238E27FC236}">
                  <a16:creationId xmlns:a16="http://schemas.microsoft.com/office/drawing/2014/main" id="{00000000-0008-0000-0900-00004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984250</xdr:colOff>
          <xdr:row>70</xdr:row>
          <xdr:rowOff>184150</xdr:rowOff>
        </xdr:to>
        <xdr:sp macro="" textlink="">
          <xdr:nvSpPr>
            <xdr:cNvPr id="117825" name="Option Button 65" hidden="1">
              <a:extLst>
                <a:ext uri="{63B3BB69-23CF-44E3-9099-C40C66FF867C}">
                  <a14:compatExt spid="_x0000_s117825"/>
                </a:ext>
                <a:ext uri="{FF2B5EF4-FFF2-40B4-BE49-F238E27FC236}">
                  <a16:creationId xmlns:a16="http://schemas.microsoft.com/office/drawing/2014/main" id="{00000000-0008-0000-0900-00004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984250</xdr:colOff>
          <xdr:row>71</xdr:row>
          <xdr:rowOff>184150</xdr:rowOff>
        </xdr:to>
        <xdr:sp macro="" textlink="">
          <xdr:nvSpPr>
            <xdr:cNvPr id="117826" name="Option Button 66" hidden="1">
              <a:extLst>
                <a:ext uri="{63B3BB69-23CF-44E3-9099-C40C66FF867C}">
                  <a14:compatExt spid="_x0000_s117826"/>
                </a:ext>
                <a:ext uri="{FF2B5EF4-FFF2-40B4-BE49-F238E27FC236}">
                  <a16:creationId xmlns:a16="http://schemas.microsoft.com/office/drawing/2014/main" id="{00000000-0008-0000-0900-00004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984250</xdr:colOff>
          <xdr:row>72</xdr:row>
          <xdr:rowOff>184150</xdr:rowOff>
        </xdr:to>
        <xdr:sp macro="" textlink="">
          <xdr:nvSpPr>
            <xdr:cNvPr id="117827" name="Option Button 67" hidden="1">
              <a:extLst>
                <a:ext uri="{63B3BB69-23CF-44E3-9099-C40C66FF867C}">
                  <a14:compatExt spid="_x0000_s117827"/>
                </a:ext>
                <a:ext uri="{FF2B5EF4-FFF2-40B4-BE49-F238E27FC236}">
                  <a16:creationId xmlns:a16="http://schemas.microsoft.com/office/drawing/2014/main" id="{00000000-0008-0000-0900-00004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984250</xdr:colOff>
          <xdr:row>73</xdr:row>
          <xdr:rowOff>184150</xdr:rowOff>
        </xdr:to>
        <xdr:sp macro="" textlink="">
          <xdr:nvSpPr>
            <xdr:cNvPr id="117828" name="Option Button 68" hidden="1">
              <a:extLst>
                <a:ext uri="{63B3BB69-23CF-44E3-9099-C40C66FF867C}">
                  <a14:compatExt spid="_x0000_s117828"/>
                </a:ext>
                <a:ext uri="{FF2B5EF4-FFF2-40B4-BE49-F238E27FC236}">
                  <a16:creationId xmlns:a16="http://schemas.microsoft.com/office/drawing/2014/main" id="{00000000-0008-0000-0900-00004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984250</xdr:colOff>
          <xdr:row>74</xdr:row>
          <xdr:rowOff>184150</xdr:rowOff>
        </xdr:to>
        <xdr:sp macro="" textlink="">
          <xdr:nvSpPr>
            <xdr:cNvPr id="117829" name="Option Button 69" hidden="1">
              <a:extLst>
                <a:ext uri="{63B3BB69-23CF-44E3-9099-C40C66FF867C}">
                  <a14:compatExt spid="_x0000_s117829"/>
                </a:ext>
                <a:ext uri="{FF2B5EF4-FFF2-40B4-BE49-F238E27FC236}">
                  <a16:creationId xmlns:a16="http://schemas.microsoft.com/office/drawing/2014/main" id="{00000000-0008-0000-0900-00004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984250</xdr:colOff>
          <xdr:row>75</xdr:row>
          <xdr:rowOff>184150</xdr:rowOff>
        </xdr:to>
        <xdr:sp macro="" textlink="">
          <xdr:nvSpPr>
            <xdr:cNvPr id="117830" name="Option Button 70" hidden="1">
              <a:extLst>
                <a:ext uri="{63B3BB69-23CF-44E3-9099-C40C66FF867C}">
                  <a14:compatExt spid="_x0000_s117830"/>
                </a:ext>
                <a:ext uri="{FF2B5EF4-FFF2-40B4-BE49-F238E27FC236}">
                  <a16:creationId xmlns:a16="http://schemas.microsoft.com/office/drawing/2014/main" id="{00000000-0008-0000-0900-00004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984250</xdr:colOff>
          <xdr:row>76</xdr:row>
          <xdr:rowOff>184150</xdr:rowOff>
        </xdr:to>
        <xdr:sp macro="" textlink="">
          <xdr:nvSpPr>
            <xdr:cNvPr id="117831" name="Option Button 71" hidden="1">
              <a:extLst>
                <a:ext uri="{63B3BB69-23CF-44E3-9099-C40C66FF867C}">
                  <a14:compatExt spid="_x0000_s117831"/>
                </a:ext>
                <a:ext uri="{FF2B5EF4-FFF2-40B4-BE49-F238E27FC236}">
                  <a16:creationId xmlns:a16="http://schemas.microsoft.com/office/drawing/2014/main" id="{00000000-0008-0000-0900-00004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984250</xdr:colOff>
          <xdr:row>77</xdr:row>
          <xdr:rowOff>184150</xdr:rowOff>
        </xdr:to>
        <xdr:sp macro="" textlink="">
          <xdr:nvSpPr>
            <xdr:cNvPr id="117832" name="Option Button 72" hidden="1">
              <a:extLst>
                <a:ext uri="{63B3BB69-23CF-44E3-9099-C40C66FF867C}">
                  <a14:compatExt spid="_x0000_s117832"/>
                </a:ext>
                <a:ext uri="{FF2B5EF4-FFF2-40B4-BE49-F238E27FC236}">
                  <a16:creationId xmlns:a16="http://schemas.microsoft.com/office/drawing/2014/main" id="{00000000-0008-0000-0900-00004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984250</xdr:colOff>
          <xdr:row>78</xdr:row>
          <xdr:rowOff>184150</xdr:rowOff>
        </xdr:to>
        <xdr:sp macro="" textlink="">
          <xdr:nvSpPr>
            <xdr:cNvPr id="117833" name="Option Button 73" hidden="1">
              <a:extLst>
                <a:ext uri="{63B3BB69-23CF-44E3-9099-C40C66FF867C}">
                  <a14:compatExt spid="_x0000_s117833"/>
                </a:ext>
                <a:ext uri="{FF2B5EF4-FFF2-40B4-BE49-F238E27FC236}">
                  <a16:creationId xmlns:a16="http://schemas.microsoft.com/office/drawing/2014/main" id="{00000000-0008-0000-0900-00004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984250</xdr:colOff>
          <xdr:row>79</xdr:row>
          <xdr:rowOff>184150</xdr:rowOff>
        </xdr:to>
        <xdr:sp macro="" textlink="">
          <xdr:nvSpPr>
            <xdr:cNvPr id="117834" name="Option Button 74" hidden="1">
              <a:extLst>
                <a:ext uri="{63B3BB69-23CF-44E3-9099-C40C66FF867C}">
                  <a14:compatExt spid="_x0000_s117834"/>
                </a:ext>
                <a:ext uri="{FF2B5EF4-FFF2-40B4-BE49-F238E27FC236}">
                  <a16:creationId xmlns:a16="http://schemas.microsoft.com/office/drawing/2014/main" id="{00000000-0008-0000-0900-00004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984250</xdr:colOff>
          <xdr:row>80</xdr:row>
          <xdr:rowOff>184150</xdr:rowOff>
        </xdr:to>
        <xdr:sp macro="" textlink="">
          <xdr:nvSpPr>
            <xdr:cNvPr id="117835" name="Option Button 75" hidden="1">
              <a:extLst>
                <a:ext uri="{63B3BB69-23CF-44E3-9099-C40C66FF867C}">
                  <a14:compatExt spid="_x0000_s117835"/>
                </a:ext>
                <a:ext uri="{FF2B5EF4-FFF2-40B4-BE49-F238E27FC236}">
                  <a16:creationId xmlns:a16="http://schemas.microsoft.com/office/drawing/2014/main" id="{00000000-0008-0000-0900-00004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984250</xdr:colOff>
          <xdr:row>81</xdr:row>
          <xdr:rowOff>184150</xdr:rowOff>
        </xdr:to>
        <xdr:sp macro="" textlink="">
          <xdr:nvSpPr>
            <xdr:cNvPr id="117836" name="Option Button 76" hidden="1">
              <a:extLst>
                <a:ext uri="{63B3BB69-23CF-44E3-9099-C40C66FF867C}">
                  <a14:compatExt spid="_x0000_s117836"/>
                </a:ext>
                <a:ext uri="{FF2B5EF4-FFF2-40B4-BE49-F238E27FC236}">
                  <a16:creationId xmlns:a16="http://schemas.microsoft.com/office/drawing/2014/main" id="{00000000-0008-0000-0900-00004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984250</xdr:colOff>
          <xdr:row>82</xdr:row>
          <xdr:rowOff>184150</xdr:rowOff>
        </xdr:to>
        <xdr:sp macro="" textlink="">
          <xdr:nvSpPr>
            <xdr:cNvPr id="117837" name="Option Button 77" hidden="1">
              <a:extLst>
                <a:ext uri="{63B3BB69-23CF-44E3-9099-C40C66FF867C}">
                  <a14:compatExt spid="_x0000_s117837"/>
                </a:ext>
                <a:ext uri="{FF2B5EF4-FFF2-40B4-BE49-F238E27FC236}">
                  <a16:creationId xmlns:a16="http://schemas.microsoft.com/office/drawing/2014/main" id="{00000000-0008-0000-0900-00004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984250</xdr:colOff>
          <xdr:row>83</xdr:row>
          <xdr:rowOff>184150</xdr:rowOff>
        </xdr:to>
        <xdr:sp macro="" textlink="">
          <xdr:nvSpPr>
            <xdr:cNvPr id="117838" name="Option Button 78" hidden="1">
              <a:extLst>
                <a:ext uri="{63B3BB69-23CF-44E3-9099-C40C66FF867C}">
                  <a14:compatExt spid="_x0000_s117838"/>
                </a:ext>
                <a:ext uri="{FF2B5EF4-FFF2-40B4-BE49-F238E27FC236}">
                  <a16:creationId xmlns:a16="http://schemas.microsoft.com/office/drawing/2014/main" id="{00000000-0008-0000-0900-00004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984250</xdr:colOff>
          <xdr:row>84</xdr:row>
          <xdr:rowOff>184150</xdr:rowOff>
        </xdr:to>
        <xdr:sp macro="" textlink="">
          <xdr:nvSpPr>
            <xdr:cNvPr id="117839" name="Option Button 79" hidden="1">
              <a:extLst>
                <a:ext uri="{63B3BB69-23CF-44E3-9099-C40C66FF867C}">
                  <a14:compatExt spid="_x0000_s117839"/>
                </a:ext>
                <a:ext uri="{FF2B5EF4-FFF2-40B4-BE49-F238E27FC236}">
                  <a16:creationId xmlns:a16="http://schemas.microsoft.com/office/drawing/2014/main" id="{00000000-0008-0000-0900-00004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984250</xdr:colOff>
          <xdr:row>85</xdr:row>
          <xdr:rowOff>184150</xdr:rowOff>
        </xdr:to>
        <xdr:sp macro="" textlink="">
          <xdr:nvSpPr>
            <xdr:cNvPr id="117840" name="Option Button 80" hidden="1">
              <a:extLst>
                <a:ext uri="{63B3BB69-23CF-44E3-9099-C40C66FF867C}">
                  <a14:compatExt spid="_x0000_s117840"/>
                </a:ext>
                <a:ext uri="{FF2B5EF4-FFF2-40B4-BE49-F238E27FC236}">
                  <a16:creationId xmlns:a16="http://schemas.microsoft.com/office/drawing/2014/main" id="{00000000-0008-0000-0900-00005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984250</xdr:colOff>
          <xdr:row>86</xdr:row>
          <xdr:rowOff>184150</xdr:rowOff>
        </xdr:to>
        <xdr:sp macro="" textlink="">
          <xdr:nvSpPr>
            <xdr:cNvPr id="117841" name="Option Button 81" hidden="1">
              <a:extLst>
                <a:ext uri="{63B3BB69-23CF-44E3-9099-C40C66FF867C}">
                  <a14:compatExt spid="_x0000_s117841"/>
                </a:ext>
                <a:ext uri="{FF2B5EF4-FFF2-40B4-BE49-F238E27FC236}">
                  <a16:creationId xmlns:a16="http://schemas.microsoft.com/office/drawing/2014/main" id="{00000000-0008-0000-0900-00005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984250</xdr:colOff>
          <xdr:row>87</xdr:row>
          <xdr:rowOff>184150</xdr:rowOff>
        </xdr:to>
        <xdr:sp macro="" textlink="">
          <xdr:nvSpPr>
            <xdr:cNvPr id="117842" name="Option Button 82" hidden="1">
              <a:extLst>
                <a:ext uri="{63B3BB69-23CF-44E3-9099-C40C66FF867C}">
                  <a14:compatExt spid="_x0000_s117842"/>
                </a:ext>
                <a:ext uri="{FF2B5EF4-FFF2-40B4-BE49-F238E27FC236}">
                  <a16:creationId xmlns:a16="http://schemas.microsoft.com/office/drawing/2014/main" id="{00000000-0008-0000-0900-00005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984250</xdr:colOff>
          <xdr:row>88</xdr:row>
          <xdr:rowOff>184150</xdr:rowOff>
        </xdr:to>
        <xdr:sp macro="" textlink="">
          <xdr:nvSpPr>
            <xdr:cNvPr id="117843" name="Option Button 83" hidden="1">
              <a:extLst>
                <a:ext uri="{63B3BB69-23CF-44E3-9099-C40C66FF867C}">
                  <a14:compatExt spid="_x0000_s117843"/>
                </a:ext>
                <a:ext uri="{FF2B5EF4-FFF2-40B4-BE49-F238E27FC236}">
                  <a16:creationId xmlns:a16="http://schemas.microsoft.com/office/drawing/2014/main" id="{00000000-0008-0000-0900-00005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984250</xdr:colOff>
          <xdr:row>89</xdr:row>
          <xdr:rowOff>184150</xdr:rowOff>
        </xdr:to>
        <xdr:sp macro="" textlink="">
          <xdr:nvSpPr>
            <xdr:cNvPr id="117844" name="Option Button 84" hidden="1">
              <a:extLst>
                <a:ext uri="{63B3BB69-23CF-44E3-9099-C40C66FF867C}">
                  <a14:compatExt spid="_x0000_s117844"/>
                </a:ext>
                <a:ext uri="{FF2B5EF4-FFF2-40B4-BE49-F238E27FC236}">
                  <a16:creationId xmlns:a16="http://schemas.microsoft.com/office/drawing/2014/main" id="{00000000-0008-0000-0900-00005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984250</xdr:colOff>
          <xdr:row>90</xdr:row>
          <xdr:rowOff>184150</xdr:rowOff>
        </xdr:to>
        <xdr:sp macro="" textlink="">
          <xdr:nvSpPr>
            <xdr:cNvPr id="117845" name="Option Button 85" hidden="1">
              <a:extLst>
                <a:ext uri="{63B3BB69-23CF-44E3-9099-C40C66FF867C}">
                  <a14:compatExt spid="_x0000_s117845"/>
                </a:ext>
                <a:ext uri="{FF2B5EF4-FFF2-40B4-BE49-F238E27FC236}">
                  <a16:creationId xmlns:a16="http://schemas.microsoft.com/office/drawing/2014/main" id="{00000000-0008-0000-0900-00005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984250</xdr:colOff>
          <xdr:row>91</xdr:row>
          <xdr:rowOff>184150</xdr:rowOff>
        </xdr:to>
        <xdr:sp macro="" textlink="">
          <xdr:nvSpPr>
            <xdr:cNvPr id="117846" name="Option Button 86" hidden="1">
              <a:extLst>
                <a:ext uri="{63B3BB69-23CF-44E3-9099-C40C66FF867C}">
                  <a14:compatExt spid="_x0000_s117846"/>
                </a:ext>
                <a:ext uri="{FF2B5EF4-FFF2-40B4-BE49-F238E27FC236}">
                  <a16:creationId xmlns:a16="http://schemas.microsoft.com/office/drawing/2014/main" id="{00000000-0008-0000-0900-00005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984250</xdr:colOff>
          <xdr:row>92</xdr:row>
          <xdr:rowOff>184150</xdr:rowOff>
        </xdr:to>
        <xdr:sp macro="" textlink="">
          <xdr:nvSpPr>
            <xdr:cNvPr id="117847" name="Option Button 87" hidden="1">
              <a:extLst>
                <a:ext uri="{63B3BB69-23CF-44E3-9099-C40C66FF867C}">
                  <a14:compatExt spid="_x0000_s117847"/>
                </a:ext>
                <a:ext uri="{FF2B5EF4-FFF2-40B4-BE49-F238E27FC236}">
                  <a16:creationId xmlns:a16="http://schemas.microsoft.com/office/drawing/2014/main" id="{00000000-0008-0000-0900-00005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984250</xdr:colOff>
          <xdr:row>93</xdr:row>
          <xdr:rowOff>184150</xdr:rowOff>
        </xdr:to>
        <xdr:sp macro="" textlink="">
          <xdr:nvSpPr>
            <xdr:cNvPr id="117848" name="Option Button 88" hidden="1">
              <a:extLst>
                <a:ext uri="{63B3BB69-23CF-44E3-9099-C40C66FF867C}">
                  <a14:compatExt spid="_x0000_s117848"/>
                </a:ext>
                <a:ext uri="{FF2B5EF4-FFF2-40B4-BE49-F238E27FC236}">
                  <a16:creationId xmlns:a16="http://schemas.microsoft.com/office/drawing/2014/main" id="{00000000-0008-0000-0900-00005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17849" name="Option Button 89" hidden="1">
              <a:extLst>
                <a:ext uri="{63B3BB69-23CF-44E3-9099-C40C66FF867C}">
                  <a14:compatExt spid="_x0000_s117849"/>
                </a:ext>
                <a:ext uri="{FF2B5EF4-FFF2-40B4-BE49-F238E27FC236}">
                  <a16:creationId xmlns:a16="http://schemas.microsoft.com/office/drawing/2014/main" id="{00000000-0008-0000-0900-00005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984250</xdr:colOff>
          <xdr:row>95</xdr:row>
          <xdr:rowOff>184150</xdr:rowOff>
        </xdr:to>
        <xdr:sp macro="" textlink="">
          <xdr:nvSpPr>
            <xdr:cNvPr id="117850" name="Option Button 90" hidden="1">
              <a:extLst>
                <a:ext uri="{63B3BB69-23CF-44E3-9099-C40C66FF867C}">
                  <a14:compatExt spid="_x0000_s117850"/>
                </a:ext>
                <a:ext uri="{FF2B5EF4-FFF2-40B4-BE49-F238E27FC236}">
                  <a16:creationId xmlns:a16="http://schemas.microsoft.com/office/drawing/2014/main" id="{00000000-0008-0000-0900-00005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51202" name="Option Button 2" hidden="1">
              <a:extLst>
                <a:ext uri="{63B3BB69-23CF-44E3-9099-C40C66FF867C}">
                  <a14:compatExt spid="_x0000_s51202"/>
                </a:ext>
                <a:ext uri="{FF2B5EF4-FFF2-40B4-BE49-F238E27FC236}">
                  <a16:creationId xmlns:a16="http://schemas.microsoft.com/office/drawing/2014/main" id="{00000000-0008-0000-0A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51203" name="Option Button 3" hidden="1">
              <a:extLst>
                <a:ext uri="{63B3BB69-23CF-44E3-9099-C40C66FF867C}">
                  <a14:compatExt spid="_x0000_s51203"/>
                </a:ext>
                <a:ext uri="{FF2B5EF4-FFF2-40B4-BE49-F238E27FC236}">
                  <a16:creationId xmlns:a16="http://schemas.microsoft.com/office/drawing/2014/main" id="{00000000-0008-0000-0A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51204" name="Option Button 4" hidden="1">
              <a:extLst>
                <a:ext uri="{63B3BB69-23CF-44E3-9099-C40C66FF867C}">
                  <a14:compatExt spid="_x0000_s51204"/>
                </a:ext>
                <a:ext uri="{FF2B5EF4-FFF2-40B4-BE49-F238E27FC236}">
                  <a16:creationId xmlns:a16="http://schemas.microsoft.com/office/drawing/2014/main" id="{00000000-0008-0000-0A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51205" name="Option Button 5" hidden="1">
              <a:extLst>
                <a:ext uri="{63B3BB69-23CF-44E3-9099-C40C66FF867C}">
                  <a14:compatExt spid="_x0000_s51205"/>
                </a:ext>
                <a:ext uri="{FF2B5EF4-FFF2-40B4-BE49-F238E27FC236}">
                  <a16:creationId xmlns:a16="http://schemas.microsoft.com/office/drawing/2014/main" id="{00000000-0008-0000-0A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51206" name="Option Button 6" hidden="1">
              <a:extLst>
                <a:ext uri="{63B3BB69-23CF-44E3-9099-C40C66FF867C}">
                  <a14:compatExt spid="_x0000_s51206"/>
                </a:ext>
                <a:ext uri="{FF2B5EF4-FFF2-40B4-BE49-F238E27FC236}">
                  <a16:creationId xmlns:a16="http://schemas.microsoft.com/office/drawing/2014/main" id="{00000000-0008-0000-0A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51207" name="Option Button 7" hidden="1">
              <a:extLst>
                <a:ext uri="{63B3BB69-23CF-44E3-9099-C40C66FF867C}">
                  <a14:compatExt spid="_x0000_s51207"/>
                </a:ext>
                <a:ext uri="{FF2B5EF4-FFF2-40B4-BE49-F238E27FC236}">
                  <a16:creationId xmlns:a16="http://schemas.microsoft.com/office/drawing/2014/main" id="{00000000-0008-0000-0A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51208" name="Option Button 8" hidden="1">
              <a:extLst>
                <a:ext uri="{63B3BB69-23CF-44E3-9099-C40C66FF867C}">
                  <a14:compatExt spid="_x0000_s51208"/>
                </a:ext>
                <a:ext uri="{FF2B5EF4-FFF2-40B4-BE49-F238E27FC236}">
                  <a16:creationId xmlns:a16="http://schemas.microsoft.com/office/drawing/2014/main" id="{00000000-0008-0000-0A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51209" name="Option Button 9" hidden="1">
              <a:extLst>
                <a:ext uri="{63B3BB69-23CF-44E3-9099-C40C66FF867C}">
                  <a14:compatExt spid="_x0000_s51209"/>
                </a:ext>
                <a:ext uri="{FF2B5EF4-FFF2-40B4-BE49-F238E27FC236}">
                  <a16:creationId xmlns:a16="http://schemas.microsoft.com/office/drawing/2014/main" id="{00000000-0008-0000-0A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14</xdr:row>
          <xdr:rowOff>209550</xdr:rowOff>
        </xdr:to>
        <xdr:sp macro="" textlink="">
          <xdr:nvSpPr>
            <xdr:cNvPr id="51210" name="Option Button 10" hidden="1">
              <a:extLst>
                <a:ext uri="{63B3BB69-23CF-44E3-9099-C40C66FF867C}">
                  <a14:compatExt spid="_x0000_s51210"/>
                </a:ext>
                <a:ext uri="{FF2B5EF4-FFF2-40B4-BE49-F238E27FC236}">
                  <a16:creationId xmlns:a16="http://schemas.microsoft.com/office/drawing/2014/main" id="{00000000-0008-0000-0A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15</xdr:row>
          <xdr:rowOff>209550</xdr:rowOff>
        </xdr:to>
        <xdr:sp macro="" textlink="">
          <xdr:nvSpPr>
            <xdr:cNvPr id="51211" name="Option Button 11" hidden="1">
              <a:extLst>
                <a:ext uri="{63B3BB69-23CF-44E3-9099-C40C66FF867C}">
                  <a14:compatExt spid="_x0000_s51211"/>
                </a:ext>
                <a:ext uri="{FF2B5EF4-FFF2-40B4-BE49-F238E27FC236}">
                  <a16:creationId xmlns:a16="http://schemas.microsoft.com/office/drawing/2014/main" id="{00000000-0008-0000-0A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51212" name="Option Button 12" hidden="1">
              <a:extLst>
                <a:ext uri="{63B3BB69-23CF-44E3-9099-C40C66FF867C}">
                  <a14:compatExt spid="_x0000_s51212"/>
                </a:ext>
                <a:ext uri="{FF2B5EF4-FFF2-40B4-BE49-F238E27FC236}">
                  <a16:creationId xmlns:a16="http://schemas.microsoft.com/office/drawing/2014/main" id="{00000000-0008-0000-0A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51213" name="Option Button 13" hidden="1">
              <a:extLst>
                <a:ext uri="{63B3BB69-23CF-44E3-9099-C40C66FF867C}">
                  <a14:compatExt spid="_x0000_s51213"/>
                </a:ext>
                <a:ext uri="{FF2B5EF4-FFF2-40B4-BE49-F238E27FC236}">
                  <a16:creationId xmlns:a16="http://schemas.microsoft.com/office/drawing/2014/main" id="{00000000-0008-0000-0A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51214" name="Option Button 14" hidden="1">
              <a:extLst>
                <a:ext uri="{63B3BB69-23CF-44E3-9099-C40C66FF867C}">
                  <a14:compatExt spid="_x0000_s51214"/>
                </a:ext>
                <a:ext uri="{FF2B5EF4-FFF2-40B4-BE49-F238E27FC236}">
                  <a16:creationId xmlns:a16="http://schemas.microsoft.com/office/drawing/2014/main" id="{00000000-0008-0000-0A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51215" name="Option Button 15" hidden="1">
              <a:extLst>
                <a:ext uri="{63B3BB69-23CF-44E3-9099-C40C66FF867C}">
                  <a14:compatExt spid="_x0000_s51215"/>
                </a:ext>
                <a:ext uri="{FF2B5EF4-FFF2-40B4-BE49-F238E27FC236}">
                  <a16:creationId xmlns:a16="http://schemas.microsoft.com/office/drawing/2014/main" id="{00000000-0008-0000-0A00-00000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51216" name="Option Button 16" hidden="1">
              <a:extLst>
                <a:ext uri="{63B3BB69-23CF-44E3-9099-C40C66FF867C}">
                  <a14:compatExt spid="_x0000_s51216"/>
                </a:ext>
                <a:ext uri="{FF2B5EF4-FFF2-40B4-BE49-F238E27FC236}">
                  <a16:creationId xmlns:a16="http://schemas.microsoft.com/office/drawing/2014/main" id="{00000000-0008-0000-0A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51217" name="Option Button 17" hidden="1">
              <a:extLst>
                <a:ext uri="{63B3BB69-23CF-44E3-9099-C40C66FF867C}">
                  <a14:compatExt spid="_x0000_s51217"/>
                </a:ext>
                <a:ext uri="{FF2B5EF4-FFF2-40B4-BE49-F238E27FC236}">
                  <a16:creationId xmlns:a16="http://schemas.microsoft.com/office/drawing/2014/main" id="{00000000-0008-0000-0A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51218" name="Option Button 18" hidden="1">
              <a:extLst>
                <a:ext uri="{63B3BB69-23CF-44E3-9099-C40C66FF867C}">
                  <a14:compatExt spid="_x0000_s51218"/>
                </a:ext>
                <a:ext uri="{FF2B5EF4-FFF2-40B4-BE49-F238E27FC236}">
                  <a16:creationId xmlns:a16="http://schemas.microsoft.com/office/drawing/2014/main" id="{00000000-0008-0000-0A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51219" name="Option Button 19" hidden="1">
              <a:extLst>
                <a:ext uri="{63B3BB69-23CF-44E3-9099-C40C66FF867C}">
                  <a14:compatExt spid="_x0000_s51219"/>
                </a:ext>
                <a:ext uri="{FF2B5EF4-FFF2-40B4-BE49-F238E27FC236}">
                  <a16:creationId xmlns:a16="http://schemas.microsoft.com/office/drawing/2014/main" id="{00000000-0008-0000-0A00-00001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51220" name="Option Button 20" hidden="1">
              <a:extLst>
                <a:ext uri="{63B3BB69-23CF-44E3-9099-C40C66FF867C}">
                  <a14:compatExt spid="_x0000_s51220"/>
                </a:ext>
                <a:ext uri="{FF2B5EF4-FFF2-40B4-BE49-F238E27FC236}">
                  <a16:creationId xmlns:a16="http://schemas.microsoft.com/office/drawing/2014/main" id="{00000000-0008-0000-0A00-00001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51221" name="Option Button 21" hidden="1">
              <a:extLst>
                <a:ext uri="{63B3BB69-23CF-44E3-9099-C40C66FF867C}">
                  <a14:compatExt spid="_x0000_s51221"/>
                </a:ext>
                <a:ext uri="{FF2B5EF4-FFF2-40B4-BE49-F238E27FC236}">
                  <a16:creationId xmlns:a16="http://schemas.microsoft.com/office/drawing/2014/main" id="{00000000-0008-0000-0A00-00001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51222" name="Option Button 22" hidden="1">
              <a:extLst>
                <a:ext uri="{63B3BB69-23CF-44E3-9099-C40C66FF867C}">
                  <a14:compatExt spid="_x0000_s51222"/>
                </a:ext>
                <a:ext uri="{FF2B5EF4-FFF2-40B4-BE49-F238E27FC236}">
                  <a16:creationId xmlns:a16="http://schemas.microsoft.com/office/drawing/2014/main" id="{00000000-0008-0000-0A00-00001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51223" name="Option Button 23" hidden="1">
              <a:extLst>
                <a:ext uri="{63B3BB69-23CF-44E3-9099-C40C66FF867C}">
                  <a14:compatExt spid="_x0000_s51223"/>
                </a:ext>
                <a:ext uri="{FF2B5EF4-FFF2-40B4-BE49-F238E27FC236}">
                  <a16:creationId xmlns:a16="http://schemas.microsoft.com/office/drawing/2014/main" id="{00000000-0008-0000-0A00-00001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51224" name="Option Button 24" hidden="1">
              <a:extLst>
                <a:ext uri="{63B3BB69-23CF-44E3-9099-C40C66FF867C}">
                  <a14:compatExt spid="_x0000_s51224"/>
                </a:ext>
                <a:ext uri="{FF2B5EF4-FFF2-40B4-BE49-F238E27FC236}">
                  <a16:creationId xmlns:a16="http://schemas.microsoft.com/office/drawing/2014/main" id="{00000000-0008-0000-0A00-00001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51225" name="Option Button 25" hidden="1">
              <a:extLst>
                <a:ext uri="{63B3BB69-23CF-44E3-9099-C40C66FF867C}">
                  <a14:compatExt spid="_x0000_s51225"/>
                </a:ext>
                <a:ext uri="{FF2B5EF4-FFF2-40B4-BE49-F238E27FC236}">
                  <a16:creationId xmlns:a16="http://schemas.microsoft.com/office/drawing/2014/main" id="{00000000-0008-0000-0A00-00001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51226" name="Option Button 26" hidden="1">
              <a:extLst>
                <a:ext uri="{63B3BB69-23CF-44E3-9099-C40C66FF867C}">
                  <a14:compatExt spid="_x0000_s51226"/>
                </a:ext>
                <a:ext uri="{FF2B5EF4-FFF2-40B4-BE49-F238E27FC236}">
                  <a16:creationId xmlns:a16="http://schemas.microsoft.com/office/drawing/2014/main" id="{00000000-0008-0000-0A00-00001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51227" name="Option Button 27" hidden="1">
              <a:extLst>
                <a:ext uri="{63B3BB69-23CF-44E3-9099-C40C66FF867C}">
                  <a14:compatExt spid="_x0000_s51227"/>
                </a:ext>
                <a:ext uri="{FF2B5EF4-FFF2-40B4-BE49-F238E27FC236}">
                  <a16:creationId xmlns:a16="http://schemas.microsoft.com/office/drawing/2014/main" id="{00000000-0008-0000-0A00-00001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51228" name="Option Button 28" hidden="1">
              <a:extLst>
                <a:ext uri="{63B3BB69-23CF-44E3-9099-C40C66FF867C}">
                  <a14:compatExt spid="_x0000_s51228"/>
                </a:ext>
                <a:ext uri="{FF2B5EF4-FFF2-40B4-BE49-F238E27FC236}">
                  <a16:creationId xmlns:a16="http://schemas.microsoft.com/office/drawing/2014/main" id="{00000000-0008-0000-0A00-00001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51229" name="Option Button 29" hidden="1">
              <a:extLst>
                <a:ext uri="{63B3BB69-23CF-44E3-9099-C40C66FF867C}">
                  <a14:compatExt spid="_x0000_s51229"/>
                </a:ext>
                <a:ext uri="{FF2B5EF4-FFF2-40B4-BE49-F238E27FC236}">
                  <a16:creationId xmlns:a16="http://schemas.microsoft.com/office/drawing/2014/main" id="{00000000-0008-0000-0A00-00001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51230" name="Option Button 30" hidden="1">
              <a:extLst>
                <a:ext uri="{63B3BB69-23CF-44E3-9099-C40C66FF867C}">
                  <a14:compatExt spid="_x0000_s51230"/>
                </a:ext>
                <a:ext uri="{FF2B5EF4-FFF2-40B4-BE49-F238E27FC236}">
                  <a16:creationId xmlns:a16="http://schemas.microsoft.com/office/drawing/2014/main" id="{00000000-0008-0000-0A00-00001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51231" name="Option Button 31" hidden="1">
              <a:extLst>
                <a:ext uri="{63B3BB69-23CF-44E3-9099-C40C66FF867C}">
                  <a14:compatExt spid="_x0000_s51231"/>
                </a:ext>
                <a:ext uri="{FF2B5EF4-FFF2-40B4-BE49-F238E27FC236}">
                  <a16:creationId xmlns:a16="http://schemas.microsoft.com/office/drawing/2014/main" id="{00000000-0008-0000-0A00-00001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51232" name="Option Button 32" hidden="1">
              <a:extLst>
                <a:ext uri="{63B3BB69-23CF-44E3-9099-C40C66FF867C}">
                  <a14:compatExt spid="_x0000_s51232"/>
                </a:ext>
                <a:ext uri="{FF2B5EF4-FFF2-40B4-BE49-F238E27FC236}">
                  <a16:creationId xmlns:a16="http://schemas.microsoft.com/office/drawing/2014/main" id="{00000000-0008-0000-0A00-00002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51233" name="Option Button 33" hidden="1">
              <a:extLst>
                <a:ext uri="{63B3BB69-23CF-44E3-9099-C40C66FF867C}">
                  <a14:compatExt spid="_x0000_s51233"/>
                </a:ext>
                <a:ext uri="{FF2B5EF4-FFF2-40B4-BE49-F238E27FC236}">
                  <a16:creationId xmlns:a16="http://schemas.microsoft.com/office/drawing/2014/main" id="{00000000-0008-0000-0A00-00002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51234" name="Option Button 34" hidden="1">
              <a:extLst>
                <a:ext uri="{63B3BB69-23CF-44E3-9099-C40C66FF867C}">
                  <a14:compatExt spid="_x0000_s51234"/>
                </a:ext>
                <a:ext uri="{FF2B5EF4-FFF2-40B4-BE49-F238E27FC236}">
                  <a16:creationId xmlns:a16="http://schemas.microsoft.com/office/drawing/2014/main" id="{00000000-0008-0000-0A00-00002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51235" name="Option Button 35" hidden="1">
              <a:extLst>
                <a:ext uri="{63B3BB69-23CF-44E3-9099-C40C66FF867C}">
                  <a14:compatExt spid="_x0000_s51235"/>
                </a:ext>
                <a:ext uri="{FF2B5EF4-FFF2-40B4-BE49-F238E27FC236}">
                  <a16:creationId xmlns:a16="http://schemas.microsoft.com/office/drawing/2014/main" id="{00000000-0008-0000-0A00-00002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51236" name="Option Button 36" hidden="1">
              <a:extLst>
                <a:ext uri="{63B3BB69-23CF-44E3-9099-C40C66FF867C}">
                  <a14:compatExt spid="_x0000_s51236"/>
                </a:ext>
                <a:ext uri="{FF2B5EF4-FFF2-40B4-BE49-F238E27FC236}">
                  <a16:creationId xmlns:a16="http://schemas.microsoft.com/office/drawing/2014/main" id="{00000000-0008-0000-0A00-00002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51237" name="Option Button 37" hidden="1">
              <a:extLst>
                <a:ext uri="{63B3BB69-23CF-44E3-9099-C40C66FF867C}">
                  <a14:compatExt spid="_x0000_s51237"/>
                </a:ext>
                <a:ext uri="{FF2B5EF4-FFF2-40B4-BE49-F238E27FC236}">
                  <a16:creationId xmlns:a16="http://schemas.microsoft.com/office/drawing/2014/main" id="{00000000-0008-0000-0A00-00002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51238" name="Option Button 38" hidden="1">
              <a:extLst>
                <a:ext uri="{63B3BB69-23CF-44E3-9099-C40C66FF867C}">
                  <a14:compatExt spid="_x0000_s51238"/>
                </a:ext>
                <a:ext uri="{FF2B5EF4-FFF2-40B4-BE49-F238E27FC236}">
                  <a16:creationId xmlns:a16="http://schemas.microsoft.com/office/drawing/2014/main" id="{00000000-0008-0000-0A00-00002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51239" name="Option Button 39" hidden="1">
              <a:extLst>
                <a:ext uri="{63B3BB69-23CF-44E3-9099-C40C66FF867C}">
                  <a14:compatExt spid="_x0000_s51239"/>
                </a:ext>
                <a:ext uri="{FF2B5EF4-FFF2-40B4-BE49-F238E27FC236}">
                  <a16:creationId xmlns:a16="http://schemas.microsoft.com/office/drawing/2014/main" id="{00000000-0008-0000-0A00-00002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51240" name="Option Button 40" hidden="1">
              <a:extLst>
                <a:ext uri="{63B3BB69-23CF-44E3-9099-C40C66FF867C}">
                  <a14:compatExt spid="_x0000_s51240"/>
                </a:ext>
                <a:ext uri="{FF2B5EF4-FFF2-40B4-BE49-F238E27FC236}">
                  <a16:creationId xmlns:a16="http://schemas.microsoft.com/office/drawing/2014/main" id="{00000000-0008-0000-0A00-00002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51241" name="Option Button 41" hidden="1">
              <a:extLst>
                <a:ext uri="{63B3BB69-23CF-44E3-9099-C40C66FF867C}">
                  <a14:compatExt spid="_x0000_s51241"/>
                </a:ext>
                <a:ext uri="{FF2B5EF4-FFF2-40B4-BE49-F238E27FC236}">
                  <a16:creationId xmlns:a16="http://schemas.microsoft.com/office/drawing/2014/main" id="{00000000-0008-0000-0A00-00002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51242" name="Option Button 42" hidden="1">
              <a:extLst>
                <a:ext uri="{63B3BB69-23CF-44E3-9099-C40C66FF867C}">
                  <a14:compatExt spid="_x0000_s51242"/>
                </a:ext>
                <a:ext uri="{FF2B5EF4-FFF2-40B4-BE49-F238E27FC236}">
                  <a16:creationId xmlns:a16="http://schemas.microsoft.com/office/drawing/2014/main" id="{00000000-0008-0000-0A00-00002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51243" name="Option Button 43" hidden="1">
              <a:extLst>
                <a:ext uri="{63B3BB69-23CF-44E3-9099-C40C66FF867C}">
                  <a14:compatExt spid="_x0000_s51243"/>
                </a:ext>
                <a:ext uri="{FF2B5EF4-FFF2-40B4-BE49-F238E27FC236}">
                  <a16:creationId xmlns:a16="http://schemas.microsoft.com/office/drawing/2014/main" id="{00000000-0008-0000-0A00-00002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51244" name="Option Button 44" hidden="1">
              <a:extLst>
                <a:ext uri="{63B3BB69-23CF-44E3-9099-C40C66FF867C}">
                  <a14:compatExt spid="_x0000_s51244"/>
                </a:ext>
                <a:ext uri="{FF2B5EF4-FFF2-40B4-BE49-F238E27FC236}">
                  <a16:creationId xmlns:a16="http://schemas.microsoft.com/office/drawing/2014/main" id="{00000000-0008-0000-0A00-00002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51245" name="Option Button 45" hidden="1">
              <a:extLst>
                <a:ext uri="{63B3BB69-23CF-44E3-9099-C40C66FF867C}">
                  <a14:compatExt spid="_x0000_s51245"/>
                </a:ext>
                <a:ext uri="{FF2B5EF4-FFF2-40B4-BE49-F238E27FC236}">
                  <a16:creationId xmlns:a16="http://schemas.microsoft.com/office/drawing/2014/main" id="{00000000-0008-0000-0A00-00002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51246" name="Option Button 46" hidden="1">
              <a:extLst>
                <a:ext uri="{63B3BB69-23CF-44E3-9099-C40C66FF867C}">
                  <a14:compatExt spid="_x0000_s51246"/>
                </a:ext>
                <a:ext uri="{FF2B5EF4-FFF2-40B4-BE49-F238E27FC236}">
                  <a16:creationId xmlns:a16="http://schemas.microsoft.com/office/drawing/2014/main" id="{00000000-0008-0000-0A00-00002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51247" name="Option Button 47" hidden="1">
              <a:extLst>
                <a:ext uri="{63B3BB69-23CF-44E3-9099-C40C66FF867C}">
                  <a14:compatExt spid="_x0000_s51247"/>
                </a:ext>
                <a:ext uri="{FF2B5EF4-FFF2-40B4-BE49-F238E27FC236}">
                  <a16:creationId xmlns:a16="http://schemas.microsoft.com/office/drawing/2014/main" id="{00000000-0008-0000-0A00-00002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51248" name="Option Button 48" hidden="1">
              <a:extLst>
                <a:ext uri="{63B3BB69-23CF-44E3-9099-C40C66FF867C}">
                  <a14:compatExt spid="_x0000_s51248"/>
                </a:ext>
                <a:ext uri="{FF2B5EF4-FFF2-40B4-BE49-F238E27FC236}">
                  <a16:creationId xmlns:a16="http://schemas.microsoft.com/office/drawing/2014/main" id="{00000000-0008-0000-0A00-00003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51249" name="Option Button 49" hidden="1">
              <a:extLst>
                <a:ext uri="{63B3BB69-23CF-44E3-9099-C40C66FF867C}">
                  <a14:compatExt spid="_x0000_s51249"/>
                </a:ext>
                <a:ext uri="{FF2B5EF4-FFF2-40B4-BE49-F238E27FC236}">
                  <a16:creationId xmlns:a16="http://schemas.microsoft.com/office/drawing/2014/main" id="{00000000-0008-0000-0A00-00003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51250" name="Option Button 50" hidden="1">
              <a:extLst>
                <a:ext uri="{63B3BB69-23CF-44E3-9099-C40C66FF867C}">
                  <a14:compatExt spid="_x0000_s51250"/>
                </a:ext>
                <a:ext uri="{FF2B5EF4-FFF2-40B4-BE49-F238E27FC236}">
                  <a16:creationId xmlns:a16="http://schemas.microsoft.com/office/drawing/2014/main" id="{00000000-0008-0000-0A00-00003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51251" name="Option Button 51" hidden="1">
              <a:extLst>
                <a:ext uri="{63B3BB69-23CF-44E3-9099-C40C66FF867C}">
                  <a14:compatExt spid="_x0000_s51251"/>
                </a:ext>
                <a:ext uri="{FF2B5EF4-FFF2-40B4-BE49-F238E27FC236}">
                  <a16:creationId xmlns:a16="http://schemas.microsoft.com/office/drawing/2014/main" id="{00000000-0008-0000-0A00-00003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51252" name="Option Button 52" hidden="1">
              <a:extLst>
                <a:ext uri="{63B3BB69-23CF-44E3-9099-C40C66FF867C}">
                  <a14:compatExt spid="_x0000_s51252"/>
                </a:ext>
                <a:ext uri="{FF2B5EF4-FFF2-40B4-BE49-F238E27FC236}">
                  <a16:creationId xmlns:a16="http://schemas.microsoft.com/office/drawing/2014/main" id="{00000000-0008-0000-0A00-00003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51253" name="Option Button 53" hidden="1">
              <a:extLst>
                <a:ext uri="{63B3BB69-23CF-44E3-9099-C40C66FF867C}">
                  <a14:compatExt spid="_x0000_s51253"/>
                </a:ext>
                <a:ext uri="{FF2B5EF4-FFF2-40B4-BE49-F238E27FC236}">
                  <a16:creationId xmlns:a16="http://schemas.microsoft.com/office/drawing/2014/main" id="{00000000-0008-0000-0A00-00003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51254" name="Option Button 54" hidden="1">
              <a:extLst>
                <a:ext uri="{63B3BB69-23CF-44E3-9099-C40C66FF867C}">
                  <a14:compatExt spid="_x0000_s51254"/>
                </a:ext>
                <a:ext uri="{FF2B5EF4-FFF2-40B4-BE49-F238E27FC236}">
                  <a16:creationId xmlns:a16="http://schemas.microsoft.com/office/drawing/2014/main" id="{00000000-0008-0000-0A00-00003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51255" name="Option Button 55" hidden="1">
              <a:extLst>
                <a:ext uri="{63B3BB69-23CF-44E3-9099-C40C66FF867C}">
                  <a14:compatExt spid="_x0000_s51255"/>
                </a:ext>
                <a:ext uri="{FF2B5EF4-FFF2-40B4-BE49-F238E27FC236}">
                  <a16:creationId xmlns:a16="http://schemas.microsoft.com/office/drawing/2014/main" id="{00000000-0008-0000-0A00-00003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51256" name="Option Button 56" hidden="1">
              <a:extLst>
                <a:ext uri="{63B3BB69-23CF-44E3-9099-C40C66FF867C}">
                  <a14:compatExt spid="_x0000_s51256"/>
                </a:ext>
                <a:ext uri="{FF2B5EF4-FFF2-40B4-BE49-F238E27FC236}">
                  <a16:creationId xmlns:a16="http://schemas.microsoft.com/office/drawing/2014/main" id="{00000000-0008-0000-0A00-00003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51257" name="Option Button 57" hidden="1">
              <a:extLst>
                <a:ext uri="{63B3BB69-23CF-44E3-9099-C40C66FF867C}">
                  <a14:compatExt spid="_x0000_s51257"/>
                </a:ext>
                <a:ext uri="{FF2B5EF4-FFF2-40B4-BE49-F238E27FC236}">
                  <a16:creationId xmlns:a16="http://schemas.microsoft.com/office/drawing/2014/main" id="{00000000-0008-0000-0A00-00003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51258" name="Option Button 58" hidden="1">
              <a:extLst>
                <a:ext uri="{63B3BB69-23CF-44E3-9099-C40C66FF867C}">
                  <a14:compatExt spid="_x0000_s51258"/>
                </a:ext>
                <a:ext uri="{FF2B5EF4-FFF2-40B4-BE49-F238E27FC236}">
                  <a16:creationId xmlns:a16="http://schemas.microsoft.com/office/drawing/2014/main" id="{00000000-0008-0000-0A00-00003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51259" name="Option Button 59" hidden="1">
              <a:extLst>
                <a:ext uri="{63B3BB69-23CF-44E3-9099-C40C66FF867C}">
                  <a14:compatExt spid="_x0000_s51259"/>
                </a:ext>
                <a:ext uri="{FF2B5EF4-FFF2-40B4-BE49-F238E27FC236}">
                  <a16:creationId xmlns:a16="http://schemas.microsoft.com/office/drawing/2014/main" id="{00000000-0008-0000-0A00-00003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51260" name="Option Button 60" hidden="1">
              <a:extLst>
                <a:ext uri="{63B3BB69-23CF-44E3-9099-C40C66FF867C}">
                  <a14:compatExt spid="_x0000_s51260"/>
                </a:ext>
                <a:ext uri="{FF2B5EF4-FFF2-40B4-BE49-F238E27FC236}">
                  <a16:creationId xmlns:a16="http://schemas.microsoft.com/office/drawing/2014/main" id="{00000000-0008-0000-0A00-00003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51261" name="Option Button 61" hidden="1">
              <a:extLst>
                <a:ext uri="{63B3BB69-23CF-44E3-9099-C40C66FF867C}">
                  <a14:compatExt spid="_x0000_s51261"/>
                </a:ext>
                <a:ext uri="{FF2B5EF4-FFF2-40B4-BE49-F238E27FC236}">
                  <a16:creationId xmlns:a16="http://schemas.microsoft.com/office/drawing/2014/main" id="{00000000-0008-0000-0A00-00003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51262" name="Option Button 62" hidden="1">
              <a:extLst>
                <a:ext uri="{63B3BB69-23CF-44E3-9099-C40C66FF867C}">
                  <a14:compatExt spid="_x0000_s51262"/>
                </a:ext>
                <a:ext uri="{FF2B5EF4-FFF2-40B4-BE49-F238E27FC236}">
                  <a16:creationId xmlns:a16="http://schemas.microsoft.com/office/drawing/2014/main" id="{00000000-0008-0000-0A00-00003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51263" name="Option Button 63" hidden="1">
              <a:extLst>
                <a:ext uri="{63B3BB69-23CF-44E3-9099-C40C66FF867C}">
                  <a14:compatExt spid="_x0000_s51263"/>
                </a:ext>
                <a:ext uri="{FF2B5EF4-FFF2-40B4-BE49-F238E27FC236}">
                  <a16:creationId xmlns:a16="http://schemas.microsoft.com/office/drawing/2014/main" id="{00000000-0008-0000-0A00-00003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51264" name="Option Button 64" hidden="1">
              <a:extLst>
                <a:ext uri="{63B3BB69-23CF-44E3-9099-C40C66FF867C}">
                  <a14:compatExt spid="_x0000_s51264"/>
                </a:ext>
                <a:ext uri="{FF2B5EF4-FFF2-40B4-BE49-F238E27FC236}">
                  <a16:creationId xmlns:a16="http://schemas.microsoft.com/office/drawing/2014/main" id="{00000000-0008-0000-0A00-00004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51265" name="Option Button 65" hidden="1">
              <a:extLst>
                <a:ext uri="{63B3BB69-23CF-44E3-9099-C40C66FF867C}">
                  <a14:compatExt spid="_x0000_s51265"/>
                </a:ext>
                <a:ext uri="{FF2B5EF4-FFF2-40B4-BE49-F238E27FC236}">
                  <a16:creationId xmlns:a16="http://schemas.microsoft.com/office/drawing/2014/main" id="{00000000-0008-0000-0A00-00004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51266" name="Option Button 66" hidden="1">
              <a:extLst>
                <a:ext uri="{63B3BB69-23CF-44E3-9099-C40C66FF867C}">
                  <a14:compatExt spid="_x0000_s51266"/>
                </a:ext>
                <a:ext uri="{FF2B5EF4-FFF2-40B4-BE49-F238E27FC236}">
                  <a16:creationId xmlns:a16="http://schemas.microsoft.com/office/drawing/2014/main" id="{00000000-0008-0000-0A00-00004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51267" name="Option Button 67" hidden="1">
              <a:extLst>
                <a:ext uri="{63B3BB69-23CF-44E3-9099-C40C66FF867C}">
                  <a14:compatExt spid="_x0000_s51267"/>
                </a:ext>
                <a:ext uri="{FF2B5EF4-FFF2-40B4-BE49-F238E27FC236}">
                  <a16:creationId xmlns:a16="http://schemas.microsoft.com/office/drawing/2014/main" id="{00000000-0008-0000-0A00-00004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51268" name="Option Button 68" hidden="1">
              <a:extLst>
                <a:ext uri="{63B3BB69-23CF-44E3-9099-C40C66FF867C}">
                  <a14:compatExt spid="_x0000_s51268"/>
                </a:ext>
                <a:ext uri="{FF2B5EF4-FFF2-40B4-BE49-F238E27FC236}">
                  <a16:creationId xmlns:a16="http://schemas.microsoft.com/office/drawing/2014/main" id="{00000000-0008-0000-0A00-00004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51269" name="Option Button 69" hidden="1">
              <a:extLst>
                <a:ext uri="{63B3BB69-23CF-44E3-9099-C40C66FF867C}">
                  <a14:compatExt spid="_x0000_s51269"/>
                </a:ext>
                <a:ext uri="{FF2B5EF4-FFF2-40B4-BE49-F238E27FC236}">
                  <a16:creationId xmlns:a16="http://schemas.microsoft.com/office/drawing/2014/main" id="{00000000-0008-0000-0A00-00004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51270" name="Option Button 70" hidden="1">
              <a:extLst>
                <a:ext uri="{63B3BB69-23CF-44E3-9099-C40C66FF867C}">
                  <a14:compatExt spid="_x0000_s51270"/>
                </a:ext>
                <a:ext uri="{FF2B5EF4-FFF2-40B4-BE49-F238E27FC236}">
                  <a16:creationId xmlns:a16="http://schemas.microsoft.com/office/drawing/2014/main" id="{00000000-0008-0000-0A00-00004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51271" name="Option Button 71" hidden="1">
              <a:extLst>
                <a:ext uri="{63B3BB69-23CF-44E3-9099-C40C66FF867C}">
                  <a14:compatExt spid="_x0000_s51271"/>
                </a:ext>
                <a:ext uri="{FF2B5EF4-FFF2-40B4-BE49-F238E27FC236}">
                  <a16:creationId xmlns:a16="http://schemas.microsoft.com/office/drawing/2014/main" id="{00000000-0008-0000-0A00-00004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51272" name="Option Button 72" hidden="1">
              <a:extLst>
                <a:ext uri="{63B3BB69-23CF-44E3-9099-C40C66FF867C}">
                  <a14:compatExt spid="_x0000_s51272"/>
                </a:ext>
                <a:ext uri="{FF2B5EF4-FFF2-40B4-BE49-F238E27FC236}">
                  <a16:creationId xmlns:a16="http://schemas.microsoft.com/office/drawing/2014/main" id="{00000000-0008-0000-0A00-00004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51273" name="Option Button 73" hidden="1">
              <a:extLst>
                <a:ext uri="{63B3BB69-23CF-44E3-9099-C40C66FF867C}">
                  <a14:compatExt spid="_x0000_s51273"/>
                </a:ext>
                <a:ext uri="{FF2B5EF4-FFF2-40B4-BE49-F238E27FC236}">
                  <a16:creationId xmlns:a16="http://schemas.microsoft.com/office/drawing/2014/main" id="{00000000-0008-0000-0A00-00004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51274" name="Option Button 74" hidden="1">
              <a:extLst>
                <a:ext uri="{63B3BB69-23CF-44E3-9099-C40C66FF867C}">
                  <a14:compatExt spid="_x0000_s51274"/>
                </a:ext>
                <a:ext uri="{FF2B5EF4-FFF2-40B4-BE49-F238E27FC236}">
                  <a16:creationId xmlns:a16="http://schemas.microsoft.com/office/drawing/2014/main" id="{00000000-0008-0000-0A00-00004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51275" name="Option Button 75" hidden="1">
              <a:extLst>
                <a:ext uri="{63B3BB69-23CF-44E3-9099-C40C66FF867C}">
                  <a14:compatExt spid="_x0000_s51275"/>
                </a:ext>
                <a:ext uri="{FF2B5EF4-FFF2-40B4-BE49-F238E27FC236}">
                  <a16:creationId xmlns:a16="http://schemas.microsoft.com/office/drawing/2014/main" id="{00000000-0008-0000-0A00-00004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51276" name="Option Button 76" hidden="1">
              <a:extLst>
                <a:ext uri="{63B3BB69-23CF-44E3-9099-C40C66FF867C}">
                  <a14:compatExt spid="_x0000_s51276"/>
                </a:ext>
                <a:ext uri="{FF2B5EF4-FFF2-40B4-BE49-F238E27FC236}">
                  <a16:creationId xmlns:a16="http://schemas.microsoft.com/office/drawing/2014/main" id="{00000000-0008-0000-0A00-00004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51277" name="Option Button 77" hidden="1">
              <a:extLst>
                <a:ext uri="{63B3BB69-23CF-44E3-9099-C40C66FF867C}">
                  <a14:compatExt spid="_x0000_s51277"/>
                </a:ext>
                <a:ext uri="{FF2B5EF4-FFF2-40B4-BE49-F238E27FC236}">
                  <a16:creationId xmlns:a16="http://schemas.microsoft.com/office/drawing/2014/main" id="{00000000-0008-0000-0A00-00004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51278" name="Option Button 78" hidden="1">
              <a:extLst>
                <a:ext uri="{63B3BB69-23CF-44E3-9099-C40C66FF867C}">
                  <a14:compatExt spid="_x0000_s51278"/>
                </a:ext>
                <a:ext uri="{FF2B5EF4-FFF2-40B4-BE49-F238E27FC236}">
                  <a16:creationId xmlns:a16="http://schemas.microsoft.com/office/drawing/2014/main" id="{00000000-0008-0000-0A00-00004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51279" name="Option Button 79" hidden="1">
              <a:extLst>
                <a:ext uri="{63B3BB69-23CF-44E3-9099-C40C66FF867C}">
                  <a14:compatExt spid="_x0000_s51279"/>
                </a:ext>
                <a:ext uri="{FF2B5EF4-FFF2-40B4-BE49-F238E27FC236}">
                  <a16:creationId xmlns:a16="http://schemas.microsoft.com/office/drawing/2014/main" id="{00000000-0008-0000-0A00-00004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51280" name="Option Button 80" hidden="1">
              <a:extLst>
                <a:ext uri="{63B3BB69-23CF-44E3-9099-C40C66FF867C}">
                  <a14:compatExt spid="_x0000_s51280"/>
                </a:ext>
                <a:ext uri="{FF2B5EF4-FFF2-40B4-BE49-F238E27FC236}">
                  <a16:creationId xmlns:a16="http://schemas.microsoft.com/office/drawing/2014/main" id="{00000000-0008-0000-0A00-00005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51281" name="Option Button 81" hidden="1">
              <a:extLst>
                <a:ext uri="{63B3BB69-23CF-44E3-9099-C40C66FF867C}">
                  <a14:compatExt spid="_x0000_s51281"/>
                </a:ext>
                <a:ext uri="{FF2B5EF4-FFF2-40B4-BE49-F238E27FC236}">
                  <a16:creationId xmlns:a16="http://schemas.microsoft.com/office/drawing/2014/main" id="{00000000-0008-0000-0A00-00005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51282" name="Option Button 82" hidden="1">
              <a:extLst>
                <a:ext uri="{63B3BB69-23CF-44E3-9099-C40C66FF867C}">
                  <a14:compatExt spid="_x0000_s51282"/>
                </a:ext>
                <a:ext uri="{FF2B5EF4-FFF2-40B4-BE49-F238E27FC236}">
                  <a16:creationId xmlns:a16="http://schemas.microsoft.com/office/drawing/2014/main" id="{00000000-0008-0000-0A00-00005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51283" name="Option Button 83" hidden="1">
              <a:extLst>
                <a:ext uri="{63B3BB69-23CF-44E3-9099-C40C66FF867C}">
                  <a14:compatExt spid="_x0000_s51283"/>
                </a:ext>
                <a:ext uri="{FF2B5EF4-FFF2-40B4-BE49-F238E27FC236}">
                  <a16:creationId xmlns:a16="http://schemas.microsoft.com/office/drawing/2014/main" id="{00000000-0008-0000-0A00-00005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51284" name="Option Button 84" hidden="1">
              <a:extLst>
                <a:ext uri="{63B3BB69-23CF-44E3-9099-C40C66FF867C}">
                  <a14:compatExt spid="_x0000_s51284"/>
                </a:ext>
                <a:ext uri="{FF2B5EF4-FFF2-40B4-BE49-F238E27FC236}">
                  <a16:creationId xmlns:a16="http://schemas.microsoft.com/office/drawing/2014/main" id="{00000000-0008-0000-0A00-00005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51285" name="Option Button 85" hidden="1">
              <a:extLst>
                <a:ext uri="{63B3BB69-23CF-44E3-9099-C40C66FF867C}">
                  <a14:compatExt spid="_x0000_s51285"/>
                </a:ext>
                <a:ext uri="{FF2B5EF4-FFF2-40B4-BE49-F238E27FC236}">
                  <a16:creationId xmlns:a16="http://schemas.microsoft.com/office/drawing/2014/main" id="{00000000-0008-0000-0A00-00005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51286" name="Option Button 86" hidden="1">
              <a:extLst>
                <a:ext uri="{63B3BB69-23CF-44E3-9099-C40C66FF867C}">
                  <a14:compatExt spid="_x0000_s51286"/>
                </a:ext>
                <a:ext uri="{FF2B5EF4-FFF2-40B4-BE49-F238E27FC236}">
                  <a16:creationId xmlns:a16="http://schemas.microsoft.com/office/drawing/2014/main" id="{00000000-0008-0000-0A00-00005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51287" name="Option Button 87" hidden="1">
              <a:extLst>
                <a:ext uri="{63B3BB69-23CF-44E3-9099-C40C66FF867C}">
                  <a14:compatExt spid="_x0000_s51287"/>
                </a:ext>
                <a:ext uri="{FF2B5EF4-FFF2-40B4-BE49-F238E27FC236}">
                  <a16:creationId xmlns:a16="http://schemas.microsoft.com/office/drawing/2014/main" id="{00000000-0008-0000-0A00-00005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51288" name="Option Button 88" hidden="1">
              <a:extLst>
                <a:ext uri="{63B3BB69-23CF-44E3-9099-C40C66FF867C}">
                  <a14:compatExt spid="_x0000_s51288"/>
                </a:ext>
                <a:ext uri="{FF2B5EF4-FFF2-40B4-BE49-F238E27FC236}">
                  <a16:creationId xmlns:a16="http://schemas.microsoft.com/office/drawing/2014/main" id="{00000000-0008-0000-0A00-00005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51289" name="Option Button 89" hidden="1">
              <a:extLst>
                <a:ext uri="{63B3BB69-23CF-44E3-9099-C40C66FF867C}">
                  <a14:compatExt spid="_x0000_s51289"/>
                </a:ext>
                <a:ext uri="{FF2B5EF4-FFF2-40B4-BE49-F238E27FC236}">
                  <a16:creationId xmlns:a16="http://schemas.microsoft.com/office/drawing/2014/main" id="{00000000-0008-0000-0A00-00005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51290" name="Option Button 90" hidden="1">
              <a:extLst>
                <a:ext uri="{63B3BB69-23CF-44E3-9099-C40C66FF867C}">
                  <a14:compatExt spid="_x0000_s51290"/>
                </a:ext>
                <a:ext uri="{FF2B5EF4-FFF2-40B4-BE49-F238E27FC236}">
                  <a16:creationId xmlns:a16="http://schemas.microsoft.com/office/drawing/2014/main" id="{00000000-0008-0000-0A00-00005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51291" name="Option Button 91" hidden="1">
              <a:extLst>
                <a:ext uri="{63B3BB69-23CF-44E3-9099-C40C66FF867C}">
                  <a14:compatExt spid="_x0000_s51291"/>
                </a:ext>
                <a:ext uri="{FF2B5EF4-FFF2-40B4-BE49-F238E27FC236}">
                  <a16:creationId xmlns:a16="http://schemas.microsoft.com/office/drawing/2014/main" id="{00000000-0008-0000-0A00-00005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51292" name="Option Button 92" hidden="1">
              <a:extLst>
                <a:ext uri="{63B3BB69-23CF-44E3-9099-C40C66FF867C}">
                  <a14:compatExt spid="_x0000_s51292"/>
                </a:ext>
                <a:ext uri="{FF2B5EF4-FFF2-40B4-BE49-F238E27FC236}">
                  <a16:creationId xmlns:a16="http://schemas.microsoft.com/office/drawing/2014/main" id="{00000000-0008-0000-0A00-00005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51293" name="Option Button 93" hidden="1">
              <a:extLst>
                <a:ext uri="{63B3BB69-23CF-44E3-9099-C40C66FF867C}">
                  <a14:compatExt spid="_x0000_s51293"/>
                </a:ext>
                <a:ext uri="{FF2B5EF4-FFF2-40B4-BE49-F238E27FC236}">
                  <a16:creationId xmlns:a16="http://schemas.microsoft.com/office/drawing/2014/main" id="{00000000-0008-0000-0A00-00005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51294" name="Option Button 94" hidden="1">
              <a:extLst>
                <a:ext uri="{63B3BB69-23CF-44E3-9099-C40C66FF867C}">
                  <a14:compatExt spid="_x0000_s51294"/>
                </a:ext>
                <a:ext uri="{FF2B5EF4-FFF2-40B4-BE49-F238E27FC236}">
                  <a16:creationId xmlns:a16="http://schemas.microsoft.com/office/drawing/2014/main" id="{00000000-0008-0000-0A00-00005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51295" name="Option Button 95" hidden="1">
              <a:extLst>
                <a:ext uri="{63B3BB69-23CF-44E3-9099-C40C66FF867C}">
                  <a14:compatExt spid="_x0000_s51295"/>
                </a:ext>
                <a:ext uri="{FF2B5EF4-FFF2-40B4-BE49-F238E27FC236}">
                  <a16:creationId xmlns:a16="http://schemas.microsoft.com/office/drawing/2014/main" id="{00000000-0008-0000-0A00-00005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51296" name="Option Button 96" hidden="1">
              <a:extLst>
                <a:ext uri="{63B3BB69-23CF-44E3-9099-C40C66FF867C}">
                  <a14:compatExt spid="_x0000_s51296"/>
                </a:ext>
                <a:ext uri="{FF2B5EF4-FFF2-40B4-BE49-F238E27FC236}">
                  <a16:creationId xmlns:a16="http://schemas.microsoft.com/office/drawing/2014/main" id="{00000000-0008-0000-0A00-00006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51297" name="Option Button 97" hidden="1">
              <a:extLst>
                <a:ext uri="{63B3BB69-23CF-44E3-9099-C40C66FF867C}">
                  <a14:compatExt spid="_x0000_s51297"/>
                </a:ext>
                <a:ext uri="{FF2B5EF4-FFF2-40B4-BE49-F238E27FC236}">
                  <a16:creationId xmlns:a16="http://schemas.microsoft.com/office/drawing/2014/main" id="{00000000-0008-0000-0A00-00006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51298" name="Option Button 98" hidden="1">
              <a:extLst>
                <a:ext uri="{63B3BB69-23CF-44E3-9099-C40C66FF867C}">
                  <a14:compatExt spid="_x0000_s51298"/>
                </a:ext>
                <a:ext uri="{FF2B5EF4-FFF2-40B4-BE49-F238E27FC236}">
                  <a16:creationId xmlns:a16="http://schemas.microsoft.com/office/drawing/2014/main" id="{00000000-0008-0000-0A00-00006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51299" name="Option Button 99" hidden="1">
              <a:extLst>
                <a:ext uri="{63B3BB69-23CF-44E3-9099-C40C66FF867C}">
                  <a14:compatExt spid="_x0000_s51299"/>
                </a:ext>
                <a:ext uri="{FF2B5EF4-FFF2-40B4-BE49-F238E27FC236}">
                  <a16:creationId xmlns:a16="http://schemas.microsoft.com/office/drawing/2014/main" id="{00000000-0008-0000-0A00-00006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51300" name="Option Button 100" hidden="1">
              <a:extLst>
                <a:ext uri="{63B3BB69-23CF-44E3-9099-C40C66FF867C}">
                  <a14:compatExt spid="_x0000_s51300"/>
                </a:ext>
                <a:ext uri="{FF2B5EF4-FFF2-40B4-BE49-F238E27FC236}">
                  <a16:creationId xmlns:a16="http://schemas.microsoft.com/office/drawing/2014/main" id="{00000000-0008-0000-0A00-00006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51301" name="Option Button 101" hidden="1">
              <a:extLst>
                <a:ext uri="{63B3BB69-23CF-44E3-9099-C40C66FF867C}">
                  <a14:compatExt spid="_x0000_s51301"/>
                </a:ext>
                <a:ext uri="{FF2B5EF4-FFF2-40B4-BE49-F238E27FC236}">
                  <a16:creationId xmlns:a16="http://schemas.microsoft.com/office/drawing/2014/main" id="{00000000-0008-0000-0A00-00006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51302" name="Option Button 102" hidden="1">
              <a:extLst>
                <a:ext uri="{63B3BB69-23CF-44E3-9099-C40C66FF867C}">
                  <a14:compatExt spid="_x0000_s51302"/>
                </a:ext>
                <a:ext uri="{FF2B5EF4-FFF2-40B4-BE49-F238E27FC236}">
                  <a16:creationId xmlns:a16="http://schemas.microsoft.com/office/drawing/2014/main" id="{00000000-0008-0000-0A00-00006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51303" name="Option Button 103" hidden="1">
              <a:extLst>
                <a:ext uri="{63B3BB69-23CF-44E3-9099-C40C66FF867C}">
                  <a14:compatExt spid="_x0000_s51303"/>
                </a:ext>
                <a:ext uri="{FF2B5EF4-FFF2-40B4-BE49-F238E27FC236}">
                  <a16:creationId xmlns:a16="http://schemas.microsoft.com/office/drawing/2014/main" id="{00000000-0008-0000-0A00-00006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51304" name="Option Button 104" hidden="1">
              <a:extLst>
                <a:ext uri="{63B3BB69-23CF-44E3-9099-C40C66FF867C}">
                  <a14:compatExt spid="_x0000_s51304"/>
                </a:ext>
                <a:ext uri="{FF2B5EF4-FFF2-40B4-BE49-F238E27FC236}">
                  <a16:creationId xmlns:a16="http://schemas.microsoft.com/office/drawing/2014/main" id="{00000000-0008-0000-0A00-00006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51305" name="Option Button 105" hidden="1">
              <a:extLst>
                <a:ext uri="{63B3BB69-23CF-44E3-9099-C40C66FF867C}">
                  <a14:compatExt spid="_x0000_s51305"/>
                </a:ext>
                <a:ext uri="{FF2B5EF4-FFF2-40B4-BE49-F238E27FC236}">
                  <a16:creationId xmlns:a16="http://schemas.microsoft.com/office/drawing/2014/main" id="{00000000-0008-0000-0A00-00006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51306" name="Option Button 106" hidden="1">
              <a:extLst>
                <a:ext uri="{63B3BB69-23CF-44E3-9099-C40C66FF867C}">
                  <a14:compatExt spid="_x0000_s51306"/>
                </a:ext>
                <a:ext uri="{FF2B5EF4-FFF2-40B4-BE49-F238E27FC236}">
                  <a16:creationId xmlns:a16="http://schemas.microsoft.com/office/drawing/2014/main" id="{00000000-0008-0000-0A00-00006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51307" name="Option Button 107" hidden="1">
              <a:extLst>
                <a:ext uri="{63B3BB69-23CF-44E3-9099-C40C66FF867C}">
                  <a14:compatExt spid="_x0000_s51307"/>
                </a:ext>
                <a:ext uri="{FF2B5EF4-FFF2-40B4-BE49-F238E27FC236}">
                  <a16:creationId xmlns:a16="http://schemas.microsoft.com/office/drawing/2014/main" id="{00000000-0008-0000-0A00-00006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51308" name="Option Button 108" hidden="1">
              <a:extLst>
                <a:ext uri="{63B3BB69-23CF-44E3-9099-C40C66FF867C}">
                  <a14:compatExt spid="_x0000_s51308"/>
                </a:ext>
                <a:ext uri="{FF2B5EF4-FFF2-40B4-BE49-F238E27FC236}">
                  <a16:creationId xmlns:a16="http://schemas.microsoft.com/office/drawing/2014/main" id="{00000000-0008-0000-0A00-00006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51309" name="Option Button 109" hidden="1">
              <a:extLst>
                <a:ext uri="{63B3BB69-23CF-44E3-9099-C40C66FF867C}">
                  <a14:compatExt spid="_x0000_s51309"/>
                </a:ext>
                <a:ext uri="{FF2B5EF4-FFF2-40B4-BE49-F238E27FC236}">
                  <a16:creationId xmlns:a16="http://schemas.microsoft.com/office/drawing/2014/main" id="{00000000-0008-0000-0A00-00006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51310" name="Option Button 110" hidden="1">
              <a:extLst>
                <a:ext uri="{63B3BB69-23CF-44E3-9099-C40C66FF867C}">
                  <a14:compatExt spid="_x0000_s51310"/>
                </a:ext>
                <a:ext uri="{FF2B5EF4-FFF2-40B4-BE49-F238E27FC236}">
                  <a16:creationId xmlns:a16="http://schemas.microsoft.com/office/drawing/2014/main" id="{00000000-0008-0000-0A00-00006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51311" name="Option Button 111" hidden="1">
              <a:extLst>
                <a:ext uri="{63B3BB69-23CF-44E3-9099-C40C66FF867C}">
                  <a14:compatExt spid="_x0000_s51311"/>
                </a:ext>
                <a:ext uri="{FF2B5EF4-FFF2-40B4-BE49-F238E27FC236}">
                  <a16:creationId xmlns:a16="http://schemas.microsoft.com/office/drawing/2014/main" id="{00000000-0008-0000-0A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39265" name="Option Button 1" hidden="1">
              <a:extLst>
                <a:ext uri="{63B3BB69-23CF-44E3-9099-C40C66FF867C}">
                  <a14:compatExt spid="_x0000_s139265"/>
                </a:ext>
                <a:ext uri="{FF2B5EF4-FFF2-40B4-BE49-F238E27FC236}">
                  <a16:creationId xmlns:a16="http://schemas.microsoft.com/office/drawing/2014/main" id="{00000000-0008-0000-0C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39266" name="Option Button 2" hidden="1">
              <a:extLst>
                <a:ext uri="{63B3BB69-23CF-44E3-9099-C40C66FF867C}">
                  <a14:compatExt spid="_x0000_s139266"/>
                </a:ext>
                <a:ext uri="{FF2B5EF4-FFF2-40B4-BE49-F238E27FC236}">
                  <a16:creationId xmlns:a16="http://schemas.microsoft.com/office/drawing/2014/main" id="{00000000-0008-0000-0C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39267" name="Option Button 3" hidden="1">
              <a:extLst>
                <a:ext uri="{63B3BB69-23CF-44E3-9099-C40C66FF867C}">
                  <a14:compatExt spid="_x0000_s139267"/>
                </a:ext>
                <a:ext uri="{FF2B5EF4-FFF2-40B4-BE49-F238E27FC236}">
                  <a16:creationId xmlns:a16="http://schemas.microsoft.com/office/drawing/2014/main" id="{00000000-0008-0000-0C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39268" name="Option Button 4" hidden="1">
              <a:extLst>
                <a:ext uri="{63B3BB69-23CF-44E3-9099-C40C66FF867C}">
                  <a14:compatExt spid="_x0000_s139268"/>
                </a:ext>
                <a:ext uri="{FF2B5EF4-FFF2-40B4-BE49-F238E27FC236}">
                  <a16:creationId xmlns:a16="http://schemas.microsoft.com/office/drawing/2014/main" id="{00000000-0008-0000-0C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39269" name="Option Button 5" hidden="1">
              <a:extLst>
                <a:ext uri="{63B3BB69-23CF-44E3-9099-C40C66FF867C}">
                  <a14:compatExt spid="_x0000_s139269"/>
                </a:ext>
                <a:ext uri="{FF2B5EF4-FFF2-40B4-BE49-F238E27FC236}">
                  <a16:creationId xmlns:a16="http://schemas.microsoft.com/office/drawing/2014/main" id="{00000000-0008-0000-0C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39270" name="Option Button 6" hidden="1">
              <a:extLst>
                <a:ext uri="{63B3BB69-23CF-44E3-9099-C40C66FF867C}">
                  <a14:compatExt spid="_x0000_s139270"/>
                </a:ext>
                <a:ext uri="{FF2B5EF4-FFF2-40B4-BE49-F238E27FC236}">
                  <a16:creationId xmlns:a16="http://schemas.microsoft.com/office/drawing/2014/main" id="{00000000-0008-0000-0C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39271" name="Option Button 7" hidden="1">
              <a:extLst>
                <a:ext uri="{63B3BB69-23CF-44E3-9099-C40C66FF867C}">
                  <a14:compatExt spid="_x0000_s139271"/>
                </a:ext>
                <a:ext uri="{FF2B5EF4-FFF2-40B4-BE49-F238E27FC236}">
                  <a16:creationId xmlns:a16="http://schemas.microsoft.com/office/drawing/2014/main" id="{00000000-0008-0000-0C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39272" name="Option Button 8" hidden="1">
              <a:extLst>
                <a:ext uri="{63B3BB69-23CF-44E3-9099-C40C66FF867C}">
                  <a14:compatExt spid="_x0000_s139272"/>
                </a:ext>
                <a:ext uri="{FF2B5EF4-FFF2-40B4-BE49-F238E27FC236}">
                  <a16:creationId xmlns:a16="http://schemas.microsoft.com/office/drawing/2014/main" id="{00000000-0008-0000-0C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39273" name="Option Button 9" hidden="1">
              <a:extLst>
                <a:ext uri="{63B3BB69-23CF-44E3-9099-C40C66FF867C}">
                  <a14:compatExt spid="_x0000_s139273"/>
                </a:ext>
                <a:ext uri="{FF2B5EF4-FFF2-40B4-BE49-F238E27FC236}">
                  <a16:creationId xmlns:a16="http://schemas.microsoft.com/office/drawing/2014/main" id="{00000000-0008-0000-0C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39274" name="Option Button 10" hidden="1">
              <a:extLst>
                <a:ext uri="{63B3BB69-23CF-44E3-9099-C40C66FF867C}">
                  <a14:compatExt spid="_x0000_s139274"/>
                </a:ext>
                <a:ext uri="{FF2B5EF4-FFF2-40B4-BE49-F238E27FC236}">
                  <a16:creationId xmlns:a16="http://schemas.microsoft.com/office/drawing/2014/main" id="{00000000-0008-0000-0C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39275" name="Option Button 11" hidden="1">
              <a:extLst>
                <a:ext uri="{63B3BB69-23CF-44E3-9099-C40C66FF867C}">
                  <a14:compatExt spid="_x0000_s139275"/>
                </a:ext>
                <a:ext uri="{FF2B5EF4-FFF2-40B4-BE49-F238E27FC236}">
                  <a16:creationId xmlns:a16="http://schemas.microsoft.com/office/drawing/2014/main" id="{00000000-0008-0000-0C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39276" name="Option Button 12" hidden="1">
              <a:extLst>
                <a:ext uri="{63B3BB69-23CF-44E3-9099-C40C66FF867C}">
                  <a14:compatExt spid="_x0000_s139276"/>
                </a:ext>
                <a:ext uri="{FF2B5EF4-FFF2-40B4-BE49-F238E27FC236}">
                  <a16:creationId xmlns:a16="http://schemas.microsoft.com/office/drawing/2014/main" id="{00000000-0008-0000-0C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39277" name="Option Button 13" hidden="1">
              <a:extLst>
                <a:ext uri="{63B3BB69-23CF-44E3-9099-C40C66FF867C}">
                  <a14:compatExt spid="_x0000_s139277"/>
                </a:ext>
                <a:ext uri="{FF2B5EF4-FFF2-40B4-BE49-F238E27FC236}">
                  <a16:creationId xmlns:a16="http://schemas.microsoft.com/office/drawing/2014/main" id="{00000000-0008-0000-0C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39278" name="Option Button 14" hidden="1">
              <a:extLst>
                <a:ext uri="{63B3BB69-23CF-44E3-9099-C40C66FF867C}">
                  <a14:compatExt spid="_x0000_s139278"/>
                </a:ext>
                <a:ext uri="{FF2B5EF4-FFF2-40B4-BE49-F238E27FC236}">
                  <a16:creationId xmlns:a16="http://schemas.microsoft.com/office/drawing/2014/main" id="{00000000-0008-0000-0C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39279" name="Option Button 15" hidden="1">
              <a:extLst>
                <a:ext uri="{63B3BB69-23CF-44E3-9099-C40C66FF867C}">
                  <a14:compatExt spid="_x0000_s139279"/>
                </a:ext>
                <a:ext uri="{FF2B5EF4-FFF2-40B4-BE49-F238E27FC236}">
                  <a16:creationId xmlns:a16="http://schemas.microsoft.com/office/drawing/2014/main" id="{00000000-0008-0000-0C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39280" name="Option Button 16" hidden="1">
              <a:extLst>
                <a:ext uri="{63B3BB69-23CF-44E3-9099-C40C66FF867C}">
                  <a14:compatExt spid="_x0000_s139280"/>
                </a:ext>
                <a:ext uri="{FF2B5EF4-FFF2-40B4-BE49-F238E27FC236}">
                  <a16:creationId xmlns:a16="http://schemas.microsoft.com/office/drawing/2014/main" id="{00000000-0008-0000-0C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39281" name="Option Button 17" hidden="1">
              <a:extLst>
                <a:ext uri="{63B3BB69-23CF-44E3-9099-C40C66FF867C}">
                  <a14:compatExt spid="_x0000_s139281"/>
                </a:ext>
                <a:ext uri="{FF2B5EF4-FFF2-40B4-BE49-F238E27FC236}">
                  <a16:creationId xmlns:a16="http://schemas.microsoft.com/office/drawing/2014/main" id="{00000000-0008-0000-0C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39282" name="Option Button 18" hidden="1">
              <a:extLst>
                <a:ext uri="{63B3BB69-23CF-44E3-9099-C40C66FF867C}">
                  <a14:compatExt spid="_x0000_s139282"/>
                </a:ext>
                <a:ext uri="{FF2B5EF4-FFF2-40B4-BE49-F238E27FC236}">
                  <a16:creationId xmlns:a16="http://schemas.microsoft.com/office/drawing/2014/main" id="{00000000-0008-0000-0C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39283" name="Option Button 19" hidden="1">
              <a:extLst>
                <a:ext uri="{63B3BB69-23CF-44E3-9099-C40C66FF867C}">
                  <a14:compatExt spid="_x0000_s139283"/>
                </a:ext>
                <a:ext uri="{FF2B5EF4-FFF2-40B4-BE49-F238E27FC236}">
                  <a16:creationId xmlns:a16="http://schemas.microsoft.com/office/drawing/2014/main" id="{00000000-0008-0000-0C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39284" name="Option Button 20" hidden="1">
              <a:extLst>
                <a:ext uri="{63B3BB69-23CF-44E3-9099-C40C66FF867C}">
                  <a14:compatExt spid="_x0000_s139284"/>
                </a:ext>
                <a:ext uri="{FF2B5EF4-FFF2-40B4-BE49-F238E27FC236}">
                  <a16:creationId xmlns:a16="http://schemas.microsoft.com/office/drawing/2014/main" id="{00000000-0008-0000-0C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39285" name="Option Button 21" hidden="1">
              <a:extLst>
                <a:ext uri="{63B3BB69-23CF-44E3-9099-C40C66FF867C}">
                  <a14:compatExt spid="_x0000_s139285"/>
                </a:ext>
                <a:ext uri="{FF2B5EF4-FFF2-40B4-BE49-F238E27FC236}">
                  <a16:creationId xmlns:a16="http://schemas.microsoft.com/office/drawing/2014/main" id="{00000000-0008-0000-0C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39286" name="Option Button 22" hidden="1">
              <a:extLst>
                <a:ext uri="{63B3BB69-23CF-44E3-9099-C40C66FF867C}">
                  <a14:compatExt spid="_x0000_s139286"/>
                </a:ext>
                <a:ext uri="{FF2B5EF4-FFF2-40B4-BE49-F238E27FC236}">
                  <a16:creationId xmlns:a16="http://schemas.microsoft.com/office/drawing/2014/main" id="{00000000-0008-0000-0C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39287" name="Option Button 23" hidden="1">
              <a:extLst>
                <a:ext uri="{63B3BB69-23CF-44E3-9099-C40C66FF867C}">
                  <a14:compatExt spid="_x0000_s139287"/>
                </a:ext>
                <a:ext uri="{FF2B5EF4-FFF2-40B4-BE49-F238E27FC236}">
                  <a16:creationId xmlns:a16="http://schemas.microsoft.com/office/drawing/2014/main" id="{00000000-0008-0000-0C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39288" name="Option Button 24" hidden="1">
              <a:extLst>
                <a:ext uri="{63B3BB69-23CF-44E3-9099-C40C66FF867C}">
                  <a14:compatExt spid="_x0000_s139288"/>
                </a:ext>
                <a:ext uri="{FF2B5EF4-FFF2-40B4-BE49-F238E27FC236}">
                  <a16:creationId xmlns:a16="http://schemas.microsoft.com/office/drawing/2014/main" id="{00000000-0008-0000-0C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39289" name="Option Button 25" hidden="1">
              <a:extLst>
                <a:ext uri="{63B3BB69-23CF-44E3-9099-C40C66FF867C}">
                  <a14:compatExt spid="_x0000_s139289"/>
                </a:ext>
                <a:ext uri="{FF2B5EF4-FFF2-40B4-BE49-F238E27FC236}">
                  <a16:creationId xmlns:a16="http://schemas.microsoft.com/office/drawing/2014/main" id="{00000000-0008-0000-0C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39290" name="Option Button 26" hidden="1">
              <a:extLst>
                <a:ext uri="{63B3BB69-23CF-44E3-9099-C40C66FF867C}">
                  <a14:compatExt spid="_x0000_s139290"/>
                </a:ext>
                <a:ext uri="{FF2B5EF4-FFF2-40B4-BE49-F238E27FC236}">
                  <a16:creationId xmlns:a16="http://schemas.microsoft.com/office/drawing/2014/main" id="{00000000-0008-0000-0C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39291" name="Option Button 27" hidden="1">
              <a:extLst>
                <a:ext uri="{63B3BB69-23CF-44E3-9099-C40C66FF867C}">
                  <a14:compatExt spid="_x0000_s139291"/>
                </a:ext>
                <a:ext uri="{FF2B5EF4-FFF2-40B4-BE49-F238E27FC236}">
                  <a16:creationId xmlns:a16="http://schemas.microsoft.com/office/drawing/2014/main" id="{00000000-0008-0000-0C00-00001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39292" name="Option Button 28" hidden="1">
              <a:extLst>
                <a:ext uri="{63B3BB69-23CF-44E3-9099-C40C66FF867C}">
                  <a14:compatExt spid="_x0000_s139292"/>
                </a:ext>
                <a:ext uri="{FF2B5EF4-FFF2-40B4-BE49-F238E27FC236}">
                  <a16:creationId xmlns:a16="http://schemas.microsoft.com/office/drawing/2014/main" id="{00000000-0008-0000-0C00-00001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39293" name="Option Button 29" hidden="1">
              <a:extLst>
                <a:ext uri="{63B3BB69-23CF-44E3-9099-C40C66FF867C}">
                  <a14:compatExt spid="_x0000_s139293"/>
                </a:ext>
                <a:ext uri="{FF2B5EF4-FFF2-40B4-BE49-F238E27FC236}">
                  <a16:creationId xmlns:a16="http://schemas.microsoft.com/office/drawing/2014/main" id="{00000000-0008-0000-0C00-00001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39294" name="Option Button 30" hidden="1">
              <a:extLst>
                <a:ext uri="{63B3BB69-23CF-44E3-9099-C40C66FF867C}">
                  <a14:compatExt spid="_x0000_s139294"/>
                </a:ext>
                <a:ext uri="{FF2B5EF4-FFF2-40B4-BE49-F238E27FC236}">
                  <a16:creationId xmlns:a16="http://schemas.microsoft.com/office/drawing/2014/main" id="{00000000-0008-0000-0C00-00001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39295" name="Option Button 31" hidden="1">
              <a:extLst>
                <a:ext uri="{63B3BB69-23CF-44E3-9099-C40C66FF867C}">
                  <a14:compatExt spid="_x0000_s139295"/>
                </a:ext>
                <a:ext uri="{FF2B5EF4-FFF2-40B4-BE49-F238E27FC236}">
                  <a16:creationId xmlns:a16="http://schemas.microsoft.com/office/drawing/2014/main" id="{00000000-0008-0000-0C00-00001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39296" name="Option Button 32" hidden="1">
              <a:extLst>
                <a:ext uri="{63B3BB69-23CF-44E3-9099-C40C66FF867C}">
                  <a14:compatExt spid="_x0000_s139296"/>
                </a:ext>
                <a:ext uri="{FF2B5EF4-FFF2-40B4-BE49-F238E27FC236}">
                  <a16:creationId xmlns:a16="http://schemas.microsoft.com/office/drawing/2014/main" id="{00000000-0008-0000-0C00-00002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39297" name="Option Button 33" hidden="1">
              <a:extLst>
                <a:ext uri="{63B3BB69-23CF-44E3-9099-C40C66FF867C}">
                  <a14:compatExt spid="_x0000_s139297"/>
                </a:ext>
                <a:ext uri="{FF2B5EF4-FFF2-40B4-BE49-F238E27FC236}">
                  <a16:creationId xmlns:a16="http://schemas.microsoft.com/office/drawing/2014/main" id="{00000000-0008-0000-0C00-00002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39298" name="Option Button 34" hidden="1">
              <a:extLst>
                <a:ext uri="{63B3BB69-23CF-44E3-9099-C40C66FF867C}">
                  <a14:compatExt spid="_x0000_s139298"/>
                </a:ext>
                <a:ext uri="{FF2B5EF4-FFF2-40B4-BE49-F238E27FC236}">
                  <a16:creationId xmlns:a16="http://schemas.microsoft.com/office/drawing/2014/main" id="{00000000-0008-0000-0C00-00002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39299" name="Option Button 35" hidden="1">
              <a:extLst>
                <a:ext uri="{63B3BB69-23CF-44E3-9099-C40C66FF867C}">
                  <a14:compatExt spid="_x0000_s139299"/>
                </a:ext>
                <a:ext uri="{FF2B5EF4-FFF2-40B4-BE49-F238E27FC236}">
                  <a16:creationId xmlns:a16="http://schemas.microsoft.com/office/drawing/2014/main" id="{00000000-0008-0000-0C00-00002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39300" name="Option Button 36" hidden="1">
              <a:extLst>
                <a:ext uri="{63B3BB69-23CF-44E3-9099-C40C66FF867C}">
                  <a14:compatExt spid="_x0000_s139300"/>
                </a:ext>
                <a:ext uri="{FF2B5EF4-FFF2-40B4-BE49-F238E27FC236}">
                  <a16:creationId xmlns:a16="http://schemas.microsoft.com/office/drawing/2014/main" id="{00000000-0008-0000-0C00-00002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39301" name="Option Button 37" hidden="1">
              <a:extLst>
                <a:ext uri="{63B3BB69-23CF-44E3-9099-C40C66FF867C}">
                  <a14:compatExt spid="_x0000_s139301"/>
                </a:ext>
                <a:ext uri="{FF2B5EF4-FFF2-40B4-BE49-F238E27FC236}">
                  <a16:creationId xmlns:a16="http://schemas.microsoft.com/office/drawing/2014/main" id="{00000000-0008-0000-0C00-00002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39302" name="Option Button 38" hidden="1">
              <a:extLst>
                <a:ext uri="{63B3BB69-23CF-44E3-9099-C40C66FF867C}">
                  <a14:compatExt spid="_x0000_s139302"/>
                </a:ext>
                <a:ext uri="{FF2B5EF4-FFF2-40B4-BE49-F238E27FC236}">
                  <a16:creationId xmlns:a16="http://schemas.microsoft.com/office/drawing/2014/main" id="{00000000-0008-0000-0C00-00002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39303" name="Option Button 39" hidden="1">
              <a:extLst>
                <a:ext uri="{63B3BB69-23CF-44E3-9099-C40C66FF867C}">
                  <a14:compatExt spid="_x0000_s139303"/>
                </a:ext>
                <a:ext uri="{FF2B5EF4-FFF2-40B4-BE49-F238E27FC236}">
                  <a16:creationId xmlns:a16="http://schemas.microsoft.com/office/drawing/2014/main" id="{00000000-0008-0000-0C00-00002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39304" name="Option Button 40" hidden="1">
              <a:extLst>
                <a:ext uri="{63B3BB69-23CF-44E3-9099-C40C66FF867C}">
                  <a14:compatExt spid="_x0000_s139304"/>
                </a:ext>
                <a:ext uri="{FF2B5EF4-FFF2-40B4-BE49-F238E27FC236}">
                  <a16:creationId xmlns:a16="http://schemas.microsoft.com/office/drawing/2014/main" id="{00000000-0008-0000-0C00-00002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39305" name="Option Button 41" hidden="1">
              <a:extLst>
                <a:ext uri="{63B3BB69-23CF-44E3-9099-C40C66FF867C}">
                  <a14:compatExt spid="_x0000_s139305"/>
                </a:ext>
                <a:ext uri="{FF2B5EF4-FFF2-40B4-BE49-F238E27FC236}">
                  <a16:creationId xmlns:a16="http://schemas.microsoft.com/office/drawing/2014/main" id="{00000000-0008-0000-0C00-00002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39306" name="Option Button 42" hidden="1">
              <a:extLst>
                <a:ext uri="{63B3BB69-23CF-44E3-9099-C40C66FF867C}">
                  <a14:compatExt spid="_x0000_s139306"/>
                </a:ext>
                <a:ext uri="{FF2B5EF4-FFF2-40B4-BE49-F238E27FC236}">
                  <a16:creationId xmlns:a16="http://schemas.microsoft.com/office/drawing/2014/main" id="{00000000-0008-0000-0C00-00002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39307" name="Option Button 43" hidden="1">
              <a:extLst>
                <a:ext uri="{63B3BB69-23CF-44E3-9099-C40C66FF867C}">
                  <a14:compatExt spid="_x0000_s139307"/>
                </a:ext>
                <a:ext uri="{FF2B5EF4-FFF2-40B4-BE49-F238E27FC236}">
                  <a16:creationId xmlns:a16="http://schemas.microsoft.com/office/drawing/2014/main" id="{00000000-0008-0000-0C00-00002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39308" name="Option Button 44" hidden="1">
              <a:extLst>
                <a:ext uri="{63B3BB69-23CF-44E3-9099-C40C66FF867C}">
                  <a14:compatExt spid="_x0000_s139308"/>
                </a:ext>
                <a:ext uri="{FF2B5EF4-FFF2-40B4-BE49-F238E27FC236}">
                  <a16:creationId xmlns:a16="http://schemas.microsoft.com/office/drawing/2014/main" id="{00000000-0008-0000-0C00-00002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39309" name="Option Button 45" hidden="1">
              <a:extLst>
                <a:ext uri="{63B3BB69-23CF-44E3-9099-C40C66FF867C}">
                  <a14:compatExt spid="_x0000_s139309"/>
                </a:ext>
                <a:ext uri="{FF2B5EF4-FFF2-40B4-BE49-F238E27FC236}">
                  <a16:creationId xmlns:a16="http://schemas.microsoft.com/office/drawing/2014/main" id="{00000000-0008-0000-0C00-00002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39310" name="Option Button 46" hidden="1">
              <a:extLst>
                <a:ext uri="{63B3BB69-23CF-44E3-9099-C40C66FF867C}">
                  <a14:compatExt spid="_x0000_s139310"/>
                </a:ext>
                <a:ext uri="{FF2B5EF4-FFF2-40B4-BE49-F238E27FC236}">
                  <a16:creationId xmlns:a16="http://schemas.microsoft.com/office/drawing/2014/main" id="{00000000-0008-0000-0C00-00002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39311" name="Option Button 47" hidden="1">
              <a:extLst>
                <a:ext uri="{63B3BB69-23CF-44E3-9099-C40C66FF867C}">
                  <a14:compatExt spid="_x0000_s139311"/>
                </a:ext>
                <a:ext uri="{FF2B5EF4-FFF2-40B4-BE49-F238E27FC236}">
                  <a16:creationId xmlns:a16="http://schemas.microsoft.com/office/drawing/2014/main" id="{00000000-0008-0000-0C00-00002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39312" name="Option Button 48" hidden="1">
              <a:extLst>
                <a:ext uri="{63B3BB69-23CF-44E3-9099-C40C66FF867C}">
                  <a14:compatExt spid="_x0000_s139312"/>
                </a:ext>
                <a:ext uri="{FF2B5EF4-FFF2-40B4-BE49-F238E27FC236}">
                  <a16:creationId xmlns:a16="http://schemas.microsoft.com/office/drawing/2014/main" id="{00000000-0008-0000-0C00-00003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39313" name="Option Button 49" hidden="1">
              <a:extLst>
                <a:ext uri="{63B3BB69-23CF-44E3-9099-C40C66FF867C}">
                  <a14:compatExt spid="_x0000_s139313"/>
                </a:ext>
                <a:ext uri="{FF2B5EF4-FFF2-40B4-BE49-F238E27FC236}">
                  <a16:creationId xmlns:a16="http://schemas.microsoft.com/office/drawing/2014/main" id="{00000000-0008-0000-0C00-00003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39314" name="Option Button 50" hidden="1">
              <a:extLst>
                <a:ext uri="{63B3BB69-23CF-44E3-9099-C40C66FF867C}">
                  <a14:compatExt spid="_x0000_s139314"/>
                </a:ext>
                <a:ext uri="{FF2B5EF4-FFF2-40B4-BE49-F238E27FC236}">
                  <a16:creationId xmlns:a16="http://schemas.microsoft.com/office/drawing/2014/main" id="{00000000-0008-0000-0C00-00003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39315" name="Option Button 51" hidden="1">
              <a:extLst>
                <a:ext uri="{63B3BB69-23CF-44E3-9099-C40C66FF867C}">
                  <a14:compatExt spid="_x0000_s139315"/>
                </a:ext>
                <a:ext uri="{FF2B5EF4-FFF2-40B4-BE49-F238E27FC236}">
                  <a16:creationId xmlns:a16="http://schemas.microsoft.com/office/drawing/2014/main" id="{00000000-0008-0000-0C00-00003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39316" name="Option Button 52" hidden="1">
              <a:extLst>
                <a:ext uri="{63B3BB69-23CF-44E3-9099-C40C66FF867C}">
                  <a14:compatExt spid="_x0000_s139316"/>
                </a:ext>
                <a:ext uri="{FF2B5EF4-FFF2-40B4-BE49-F238E27FC236}">
                  <a16:creationId xmlns:a16="http://schemas.microsoft.com/office/drawing/2014/main" id="{00000000-0008-0000-0C00-00003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39317" name="Option Button 53" hidden="1">
              <a:extLst>
                <a:ext uri="{63B3BB69-23CF-44E3-9099-C40C66FF867C}">
                  <a14:compatExt spid="_x0000_s139317"/>
                </a:ext>
                <a:ext uri="{FF2B5EF4-FFF2-40B4-BE49-F238E27FC236}">
                  <a16:creationId xmlns:a16="http://schemas.microsoft.com/office/drawing/2014/main" id="{00000000-0008-0000-0C00-00003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39318" name="Option Button 54" hidden="1">
              <a:extLst>
                <a:ext uri="{63B3BB69-23CF-44E3-9099-C40C66FF867C}">
                  <a14:compatExt spid="_x0000_s139318"/>
                </a:ext>
                <a:ext uri="{FF2B5EF4-FFF2-40B4-BE49-F238E27FC236}">
                  <a16:creationId xmlns:a16="http://schemas.microsoft.com/office/drawing/2014/main" id="{00000000-0008-0000-0C00-00003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39319" name="Option Button 55" hidden="1">
              <a:extLst>
                <a:ext uri="{63B3BB69-23CF-44E3-9099-C40C66FF867C}">
                  <a14:compatExt spid="_x0000_s139319"/>
                </a:ext>
                <a:ext uri="{FF2B5EF4-FFF2-40B4-BE49-F238E27FC236}">
                  <a16:creationId xmlns:a16="http://schemas.microsoft.com/office/drawing/2014/main" id="{00000000-0008-0000-0C00-00003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39320" name="Option Button 56" hidden="1">
              <a:extLst>
                <a:ext uri="{63B3BB69-23CF-44E3-9099-C40C66FF867C}">
                  <a14:compatExt spid="_x0000_s139320"/>
                </a:ext>
                <a:ext uri="{FF2B5EF4-FFF2-40B4-BE49-F238E27FC236}">
                  <a16:creationId xmlns:a16="http://schemas.microsoft.com/office/drawing/2014/main" id="{00000000-0008-0000-0C00-00003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39321" name="Option Button 57" hidden="1">
              <a:extLst>
                <a:ext uri="{63B3BB69-23CF-44E3-9099-C40C66FF867C}">
                  <a14:compatExt spid="_x0000_s139321"/>
                </a:ext>
                <a:ext uri="{FF2B5EF4-FFF2-40B4-BE49-F238E27FC236}">
                  <a16:creationId xmlns:a16="http://schemas.microsoft.com/office/drawing/2014/main" id="{00000000-0008-0000-0C00-00003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39322" name="Option Button 58" hidden="1">
              <a:extLst>
                <a:ext uri="{63B3BB69-23CF-44E3-9099-C40C66FF867C}">
                  <a14:compatExt spid="_x0000_s139322"/>
                </a:ext>
                <a:ext uri="{FF2B5EF4-FFF2-40B4-BE49-F238E27FC236}">
                  <a16:creationId xmlns:a16="http://schemas.microsoft.com/office/drawing/2014/main" id="{00000000-0008-0000-0C00-00003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39323" name="Option Button 59" hidden="1">
              <a:extLst>
                <a:ext uri="{63B3BB69-23CF-44E3-9099-C40C66FF867C}">
                  <a14:compatExt spid="_x0000_s139323"/>
                </a:ext>
                <a:ext uri="{FF2B5EF4-FFF2-40B4-BE49-F238E27FC236}">
                  <a16:creationId xmlns:a16="http://schemas.microsoft.com/office/drawing/2014/main" id="{00000000-0008-0000-0C00-00003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39324" name="Option Button 60" hidden="1">
              <a:extLst>
                <a:ext uri="{63B3BB69-23CF-44E3-9099-C40C66FF867C}">
                  <a14:compatExt spid="_x0000_s139324"/>
                </a:ext>
                <a:ext uri="{FF2B5EF4-FFF2-40B4-BE49-F238E27FC236}">
                  <a16:creationId xmlns:a16="http://schemas.microsoft.com/office/drawing/2014/main" id="{00000000-0008-0000-0C00-00003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39325" name="Option Button 61" hidden="1">
              <a:extLst>
                <a:ext uri="{63B3BB69-23CF-44E3-9099-C40C66FF867C}">
                  <a14:compatExt spid="_x0000_s139325"/>
                </a:ext>
                <a:ext uri="{FF2B5EF4-FFF2-40B4-BE49-F238E27FC236}">
                  <a16:creationId xmlns:a16="http://schemas.microsoft.com/office/drawing/2014/main" id="{00000000-0008-0000-0C00-00003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39326" name="Option Button 62" hidden="1">
              <a:extLst>
                <a:ext uri="{63B3BB69-23CF-44E3-9099-C40C66FF867C}">
                  <a14:compatExt spid="_x0000_s139326"/>
                </a:ext>
                <a:ext uri="{FF2B5EF4-FFF2-40B4-BE49-F238E27FC236}">
                  <a16:creationId xmlns:a16="http://schemas.microsoft.com/office/drawing/2014/main" id="{00000000-0008-0000-0C00-00003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39327" name="Option Button 63" hidden="1">
              <a:extLst>
                <a:ext uri="{63B3BB69-23CF-44E3-9099-C40C66FF867C}">
                  <a14:compatExt spid="_x0000_s139327"/>
                </a:ext>
                <a:ext uri="{FF2B5EF4-FFF2-40B4-BE49-F238E27FC236}">
                  <a16:creationId xmlns:a16="http://schemas.microsoft.com/office/drawing/2014/main" id="{00000000-0008-0000-0C00-00003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39328" name="Option Button 64" hidden="1">
              <a:extLst>
                <a:ext uri="{63B3BB69-23CF-44E3-9099-C40C66FF867C}">
                  <a14:compatExt spid="_x0000_s139328"/>
                </a:ext>
                <a:ext uri="{FF2B5EF4-FFF2-40B4-BE49-F238E27FC236}">
                  <a16:creationId xmlns:a16="http://schemas.microsoft.com/office/drawing/2014/main" id="{00000000-0008-0000-0C00-00004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39329" name="Option Button 65" hidden="1">
              <a:extLst>
                <a:ext uri="{63B3BB69-23CF-44E3-9099-C40C66FF867C}">
                  <a14:compatExt spid="_x0000_s139329"/>
                </a:ext>
                <a:ext uri="{FF2B5EF4-FFF2-40B4-BE49-F238E27FC236}">
                  <a16:creationId xmlns:a16="http://schemas.microsoft.com/office/drawing/2014/main" id="{00000000-0008-0000-0C00-00004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39330" name="Option Button 66" hidden="1">
              <a:extLst>
                <a:ext uri="{63B3BB69-23CF-44E3-9099-C40C66FF867C}">
                  <a14:compatExt spid="_x0000_s139330"/>
                </a:ext>
                <a:ext uri="{FF2B5EF4-FFF2-40B4-BE49-F238E27FC236}">
                  <a16:creationId xmlns:a16="http://schemas.microsoft.com/office/drawing/2014/main" id="{00000000-0008-0000-0C00-00004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39331" name="Option Button 67" hidden="1">
              <a:extLst>
                <a:ext uri="{63B3BB69-23CF-44E3-9099-C40C66FF867C}">
                  <a14:compatExt spid="_x0000_s139331"/>
                </a:ext>
                <a:ext uri="{FF2B5EF4-FFF2-40B4-BE49-F238E27FC236}">
                  <a16:creationId xmlns:a16="http://schemas.microsoft.com/office/drawing/2014/main" id="{00000000-0008-0000-0C00-00004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39332" name="Option Button 68" hidden="1">
              <a:extLst>
                <a:ext uri="{63B3BB69-23CF-44E3-9099-C40C66FF867C}">
                  <a14:compatExt spid="_x0000_s139332"/>
                </a:ext>
                <a:ext uri="{FF2B5EF4-FFF2-40B4-BE49-F238E27FC236}">
                  <a16:creationId xmlns:a16="http://schemas.microsoft.com/office/drawing/2014/main" id="{00000000-0008-0000-0C00-00004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39333" name="Option Button 69" hidden="1">
              <a:extLst>
                <a:ext uri="{63B3BB69-23CF-44E3-9099-C40C66FF867C}">
                  <a14:compatExt spid="_x0000_s139333"/>
                </a:ext>
                <a:ext uri="{FF2B5EF4-FFF2-40B4-BE49-F238E27FC236}">
                  <a16:creationId xmlns:a16="http://schemas.microsoft.com/office/drawing/2014/main" id="{00000000-0008-0000-0C00-00004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39334" name="Option Button 70" hidden="1">
              <a:extLst>
                <a:ext uri="{63B3BB69-23CF-44E3-9099-C40C66FF867C}">
                  <a14:compatExt spid="_x0000_s139334"/>
                </a:ext>
                <a:ext uri="{FF2B5EF4-FFF2-40B4-BE49-F238E27FC236}">
                  <a16:creationId xmlns:a16="http://schemas.microsoft.com/office/drawing/2014/main" id="{00000000-0008-0000-0C00-00004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39335" name="Option Button 71" hidden="1">
              <a:extLst>
                <a:ext uri="{63B3BB69-23CF-44E3-9099-C40C66FF867C}">
                  <a14:compatExt spid="_x0000_s139335"/>
                </a:ext>
                <a:ext uri="{FF2B5EF4-FFF2-40B4-BE49-F238E27FC236}">
                  <a16:creationId xmlns:a16="http://schemas.microsoft.com/office/drawing/2014/main" id="{00000000-0008-0000-0C00-00004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39336" name="Option Button 72" hidden="1">
              <a:extLst>
                <a:ext uri="{63B3BB69-23CF-44E3-9099-C40C66FF867C}">
                  <a14:compatExt spid="_x0000_s139336"/>
                </a:ext>
                <a:ext uri="{FF2B5EF4-FFF2-40B4-BE49-F238E27FC236}">
                  <a16:creationId xmlns:a16="http://schemas.microsoft.com/office/drawing/2014/main" id="{00000000-0008-0000-0C00-00004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39337" name="Option Button 73" hidden="1">
              <a:extLst>
                <a:ext uri="{63B3BB69-23CF-44E3-9099-C40C66FF867C}">
                  <a14:compatExt spid="_x0000_s139337"/>
                </a:ext>
                <a:ext uri="{FF2B5EF4-FFF2-40B4-BE49-F238E27FC236}">
                  <a16:creationId xmlns:a16="http://schemas.microsoft.com/office/drawing/2014/main" id="{00000000-0008-0000-0C00-00004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39338" name="Option Button 74" hidden="1">
              <a:extLst>
                <a:ext uri="{63B3BB69-23CF-44E3-9099-C40C66FF867C}">
                  <a14:compatExt spid="_x0000_s139338"/>
                </a:ext>
                <a:ext uri="{FF2B5EF4-FFF2-40B4-BE49-F238E27FC236}">
                  <a16:creationId xmlns:a16="http://schemas.microsoft.com/office/drawing/2014/main" id="{00000000-0008-0000-0C00-00004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39339" name="Option Button 75" hidden="1">
              <a:extLst>
                <a:ext uri="{63B3BB69-23CF-44E3-9099-C40C66FF867C}">
                  <a14:compatExt spid="_x0000_s139339"/>
                </a:ext>
                <a:ext uri="{FF2B5EF4-FFF2-40B4-BE49-F238E27FC236}">
                  <a16:creationId xmlns:a16="http://schemas.microsoft.com/office/drawing/2014/main" id="{00000000-0008-0000-0C00-00004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39340" name="Option Button 76" hidden="1">
              <a:extLst>
                <a:ext uri="{63B3BB69-23CF-44E3-9099-C40C66FF867C}">
                  <a14:compatExt spid="_x0000_s139340"/>
                </a:ext>
                <a:ext uri="{FF2B5EF4-FFF2-40B4-BE49-F238E27FC236}">
                  <a16:creationId xmlns:a16="http://schemas.microsoft.com/office/drawing/2014/main" id="{00000000-0008-0000-0C00-00004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39341" name="Option Button 77" hidden="1">
              <a:extLst>
                <a:ext uri="{63B3BB69-23CF-44E3-9099-C40C66FF867C}">
                  <a14:compatExt spid="_x0000_s139341"/>
                </a:ext>
                <a:ext uri="{FF2B5EF4-FFF2-40B4-BE49-F238E27FC236}">
                  <a16:creationId xmlns:a16="http://schemas.microsoft.com/office/drawing/2014/main" id="{00000000-0008-0000-0C00-00004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39342" name="Option Button 78" hidden="1">
              <a:extLst>
                <a:ext uri="{63B3BB69-23CF-44E3-9099-C40C66FF867C}">
                  <a14:compatExt spid="_x0000_s139342"/>
                </a:ext>
                <a:ext uri="{FF2B5EF4-FFF2-40B4-BE49-F238E27FC236}">
                  <a16:creationId xmlns:a16="http://schemas.microsoft.com/office/drawing/2014/main" id="{00000000-0008-0000-0C00-00004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39343" name="Option Button 79" hidden="1">
              <a:extLst>
                <a:ext uri="{63B3BB69-23CF-44E3-9099-C40C66FF867C}">
                  <a14:compatExt spid="_x0000_s139343"/>
                </a:ext>
                <a:ext uri="{FF2B5EF4-FFF2-40B4-BE49-F238E27FC236}">
                  <a16:creationId xmlns:a16="http://schemas.microsoft.com/office/drawing/2014/main" id="{00000000-0008-0000-0C00-00004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39344" name="Option Button 80" hidden="1">
              <a:extLst>
                <a:ext uri="{63B3BB69-23CF-44E3-9099-C40C66FF867C}">
                  <a14:compatExt spid="_x0000_s139344"/>
                </a:ext>
                <a:ext uri="{FF2B5EF4-FFF2-40B4-BE49-F238E27FC236}">
                  <a16:creationId xmlns:a16="http://schemas.microsoft.com/office/drawing/2014/main" id="{00000000-0008-0000-0C00-00005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39345" name="Option Button 81" hidden="1">
              <a:extLst>
                <a:ext uri="{63B3BB69-23CF-44E3-9099-C40C66FF867C}">
                  <a14:compatExt spid="_x0000_s139345"/>
                </a:ext>
                <a:ext uri="{FF2B5EF4-FFF2-40B4-BE49-F238E27FC236}">
                  <a16:creationId xmlns:a16="http://schemas.microsoft.com/office/drawing/2014/main" id="{00000000-0008-0000-0C00-00005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39346" name="Option Button 82" hidden="1">
              <a:extLst>
                <a:ext uri="{63B3BB69-23CF-44E3-9099-C40C66FF867C}">
                  <a14:compatExt spid="_x0000_s139346"/>
                </a:ext>
                <a:ext uri="{FF2B5EF4-FFF2-40B4-BE49-F238E27FC236}">
                  <a16:creationId xmlns:a16="http://schemas.microsoft.com/office/drawing/2014/main" id="{00000000-0008-0000-0C00-00005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39347" name="Option Button 83" hidden="1">
              <a:extLst>
                <a:ext uri="{63B3BB69-23CF-44E3-9099-C40C66FF867C}">
                  <a14:compatExt spid="_x0000_s139347"/>
                </a:ext>
                <a:ext uri="{FF2B5EF4-FFF2-40B4-BE49-F238E27FC236}">
                  <a16:creationId xmlns:a16="http://schemas.microsoft.com/office/drawing/2014/main" id="{00000000-0008-0000-0C00-00005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39348" name="Option Button 84" hidden="1">
              <a:extLst>
                <a:ext uri="{63B3BB69-23CF-44E3-9099-C40C66FF867C}">
                  <a14:compatExt spid="_x0000_s139348"/>
                </a:ext>
                <a:ext uri="{FF2B5EF4-FFF2-40B4-BE49-F238E27FC236}">
                  <a16:creationId xmlns:a16="http://schemas.microsoft.com/office/drawing/2014/main" id="{00000000-0008-0000-0C00-00005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39349" name="Option Button 85" hidden="1">
              <a:extLst>
                <a:ext uri="{63B3BB69-23CF-44E3-9099-C40C66FF867C}">
                  <a14:compatExt spid="_x0000_s139349"/>
                </a:ext>
                <a:ext uri="{FF2B5EF4-FFF2-40B4-BE49-F238E27FC236}">
                  <a16:creationId xmlns:a16="http://schemas.microsoft.com/office/drawing/2014/main" id="{00000000-0008-0000-0C00-00005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39350" name="Option Button 86" hidden="1">
              <a:extLst>
                <a:ext uri="{63B3BB69-23CF-44E3-9099-C40C66FF867C}">
                  <a14:compatExt spid="_x0000_s139350"/>
                </a:ext>
                <a:ext uri="{FF2B5EF4-FFF2-40B4-BE49-F238E27FC236}">
                  <a16:creationId xmlns:a16="http://schemas.microsoft.com/office/drawing/2014/main" id="{00000000-0008-0000-0C00-00005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39351" name="Option Button 87" hidden="1">
              <a:extLst>
                <a:ext uri="{63B3BB69-23CF-44E3-9099-C40C66FF867C}">
                  <a14:compatExt spid="_x0000_s139351"/>
                </a:ext>
                <a:ext uri="{FF2B5EF4-FFF2-40B4-BE49-F238E27FC236}">
                  <a16:creationId xmlns:a16="http://schemas.microsoft.com/office/drawing/2014/main" id="{00000000-0008-0000-0C00-00005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39352" name="Option Button 88" hidden="1">
              <a:extLst>
                <a:ext uri="{63B3BB69-23CF-44E3-9099-C40C66FF867C}">
                  <a14:compatExt spid="_x0000_s139352"/>
                </a:ext>
                <a:ext uri="{FF2B5EF4-FFF2-40B4-BE49-F238E27FC236}">
                  <a16:creationId xmlns:a16="http://schemas.microsoft.com/office/drawing/2014/main" id="{00000000-0008-0000-0C00-00005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39353" name="Option Button 89" hidden="1">
              <a:extLst>
                <a:ext uri="{63B3BB69-23CF-44E3-9099-C40C66FF867C}">
                  <a14:compatExt spid="_x0000_s139353"/>
                </a:ext>
                <a:ext uri="{FF2B5EF4-FFF2-40B4-BE49-F238E27FC236}">
                  <a16:creationId xmlns:a16="http://schemas.microsoft.com/office/drawing/2014/main" id="{00000000-0008-0000-0C00-00005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39354" name="Option Button 90" hidden="1">
              <a:extLst>
                <a:ext uri="{63B3BB69-23CF-44E3-9099-C40C66FF867C}">
                  <a14:compatExt spid="_x0000_s139354"/>
                </a:ext>
                <a:ext uri="{FF2B5EF4-FFF2-40B4-BE49-F238E27FC236}">
                  <a16:creationId xmlns:a16="http://schemas.microsoft.com/office/drawing/2014/main" id="{00000000-0008-0000-0C00-00005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39355" name="Option Button 91" hidden="1">
              <a:extLst>
                <a:ext uri="{63B3BB69-23CF-44E3-9099-C40C66FF867C}">
                  <a14:compatExt spid="_x0000_s139355"/>
                </a:ext>
                <a:ext uri="{FF2B5EF4-FFF2-40B4-BE49-F238E27FC236}">
                  <a16:creationId xmlns:a16="http://schemas.microsoft.com/office/drawing/2014/main" id="{00000000-0008-0000-0C00-00005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39356" name="Option Button 92" hidden="1">
              <a:extLst>
                <a:ext uri="{63B3BB69-23CF-44E3-9099-C40C66FF867C}">
                  <a14:compatExt spid="_x0000_s139356"/>
                </a:ext>
                <a:ext uri="{FF2B5EF4-FFF2-40B4-BE49-F238E27FC236}">
                  <a16:creationId xmlns:a16="http://schemas.microsoft.com/office/drawing/2014/main" id="{00000000-0008-0000-0C00-00005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39357" name="Option Button 93" hidden="1">
              <a:extLst>
                <a:ext uri="{63B3BB69-23CF-44E3-9099-C40C66FF867C}">
                  <a14:compatExt spid="_x0000_s139357"/>
                </a:ext>
                <a:ext uri="{FF2B5EF4-FFF2-40B4-BE49-F238E27FC236}">
                  <a16:creationId xmlns:a16="http://schemas.microsoft.com/office/drawing/2014/main" id="{00000000-0008-0000-0C00-00005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39358" name="Option Button 94" hidden="1">
              <a:extLst>
                <a:ext uri="{63B3BB69-23CF-44E3-9099-C40C66FF867C}">
                  <a14:compatExt spid="_x0000_s139358"/>
                </a:ext>
                <a:ext uri="{FF2B5EF4-FFF2-40B4-BE49-F238E27FC236}">
                  <a16:creationId xmlns:a16="http://schemas.microsoft.com/office/drawing/2014/main" id="{00000000-0008-0000-0C00-00005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39359" name="Option Button 95" hidden="1">
              <a:extLst>
                <a:ext uri="{63B3BB69-23CF-44E3-9099-C40C66FF867C}">
                  <a14:compatExt spid="_x0000_s139359"/>
                </a:ext>
                <a:ext uri="{FF2B5EF4-FFF2-40B4-BE49-F238E27FC236}">
                  <a16:creationId xmlns:a16="http://schemas.microsoft.com/office/drawing/2014/main" id="{00000000-0008-0000-0C00-00005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39360" name="Option Button 96" hidden="1">
              <a:extLst>
                <a:ext uri="{63B3BB69-23CF-44E3-9099-C40C66FF867C}">
                  <a14:compatExt spid="_x0000_s139360"/>
                </a:ext>
                <a:ext uri="{FF2B5EF4-FFF2-40B4-BE49-F238E27FC236}">
                  <a16:creationId xmlns:a16="http://schemas.microsoft.com/office/drawing/2014/main" id="{00000000-0008-0000-0C00-00006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39361" name="Option Button 97" hidden="1">
              <a:extLst>
                <a:ext uri="{63B3BB69-23CF-44E3-9099-C40C66FF867C}">
                  <a14:compatExt spid="_x0000_s139361"/>
                </a:ext>
                <a:ext uri="{FF2B5EF4-FFF2-40B4-BE49-F238E27FC236}">
                  <a16:creationId xmlns:a16="http://schemas.microsoft.com/office/drawing/2014/main" id="{00000000-0008-0000-0C00-00006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39362" name="Option Button 98" hidden="1">
              <a:extLst>
                <a:ext uri="{63B3BB69-23CF-44E3-9099-C40C66FF867C}">
                  <a14:compatExt spid="_x0000_s139362"/>
                </a:ext>
                <a:ext uri="{FF2B5EF4-FFF2-40B4-BE49-F238E27FC236}">
                  <a16:creationId xmlns:a16="http://schemas.microsoft.com/office/drawing/2014/main" id="{00000000-0008-0000-0C00-00006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39363" name="Option Button 99" hidden="1">
              <a:extLst>
                <a:ext uri="{63B3BB69-23CF-44E3-9099-C40C66FF867C}">
                  <a14:compatExt spid="_x0000_s139363"/>
                </a:ext>
                <a:ext uri="{FF2B5EF4-FFF2-40B4-BE49-F238E27FC236}">
                  <a16:creationId xmlns:a16="http://schemas.microsoft.com/office/drawing/2014/main" id="{00000000-0008-0000-0C00-00006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39364" name="Option Button 100" hidden="1">
              <a:extLst>
                <a:ext uri="{63B3BB69-23CF-44E3-9099-C40C66FF867C}">
                  <a14:compatExt spid="_x0000_s139364"/>
                </a:ext>
                <a:ext uri="{FF2B5EF4-FFF2-40B4-BE49-F238E27FC236}">
                  <a16:creationId xmlns:a16="http://schemas.microsoft.com/office/drawing/2014/main" id="{00000000-0008-0000-0C00-00006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39365" name="Option Button 101" hidden="1">
              <a:extLst>
                <a:ext uri="{63B3BB69-23CF-44E3-9099-C40C66FF867C}">
                  <a14:compatExt spid="_x0000_s139365"/>
                </a:ext>
                <a:ext uri="{FF2B5EF4-FFF2-40B4-BE49-F238E27FC236}">
                  <a16:creationId xmlns:a16="http://schemas.microsoft.com/office/drawing/2014/main" id="{00000000-0008-0000-0C00-00006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39366" name="Option Button 102" hidden="1">
              <a:extLst>
                <a:ext uri="{63B3BB69-23CF-44E3-9099-C40C66FF867C}">
                  <a14:compatExt spid="_x0000_s139366"/>
                </a:ext>
                <a:ext uri="{FF2B5EF4-FFF2-40B4-BE49-F238E27FC236}">
                  <a16:creationId xmlns:a16="http://schemas.microsoft.com/office/drawing/2014/main" id="{00000000-0008-0000-0C00-00006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39367" name="Option Button 103" hidden="1">
              <a:extLst>
                <a:ext uri="{63B3BB69-23CF-44E3-9099-C40C66FF867C}">
                  <a14:compatExt spid="_x0000_s139367"/>
                </a:ext>
                <a:ext uri="{FF2B5EF4-FFF2-40B4-BE49-F238E27FC236}">
                  <a16:creationId xmlns:a16="http://schemas.microsoft.com/office/drawing/2014/main" id="{00000000-0008-0000-0C00-00006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39368" name="Option Button 104" hidden="1">
              <a:extLst>
                <a:ext uri="{63B3BB69-23CF-44E3-9099-C40C66FF867C}">
                  <a14:compatExt spid="_x0000_s139368"/>
                </a:ext>
                <a:ext uri="{FF2B5EF4-FFF2-40B4-BE49-F238E27FC236}">
                  <a16:creationId xmlns:a16="http://schemas.microsoft.com/office/drawing/2014/main" id="{00000000-0008-0000-0C00-00006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39369" name="Option Button 105" hidden="1">
              <a:extLst>
                <a:ext uri="{63B3BB69-23CF-44E3-9099-C40C66FF867C}">
                  <a14:compatExt spid="_x0000_s139369"/>
                </a:ext>
                <a:ext uri="{FF2B5EF4-FFF2-40B4-BE49-F238E27FC236}">
                  <a16:creationId xmlns:a16="http://schemas.microsoft.com/office/drawing/2014/main" id="{00000000-0008-0000-0C00-00006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39370" name="Option Button 106" hidden="1">
              <a:extLst>
                <a:ext uri="{63B3BB69-23CF-44E3-9099-C40C66FF867C}">
                  <a14:compatExt spid="_x0000_s139370"/>
                </a:ext>
                <a:ext uri="{FF2B5EF4-FFF2-40B4-BE49-F238E27FC236}">
                  <a16:creationId xmlns:a16="http://schemas.microsoft.com/office/drawing/2014/main" id="{00000000-0008-0000-0C00-00006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39371" name="Option Button 107" hidden="1">
              <a:extLst>
                <a:ext uri="{63B3BB69-23CF-44E3-9099-C40C66FF867C}">
                  <a14:compatExt spid="_x0000_s139371"/>
                </a:ext>
                <a:ext uri="{FF2B5EF4-FFF2-40B4-BE49-F238E27FC236}">
                  <a16:creationId xmlns:a16="http://schemas.microsoft.com/office/drawing/2014/main" id="{00000000-0008-0000-0C00-00006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39372" name="Option Button 108" hidden="1">
              <a:extLst>
                <a:ext uri="{63B3BB69-23CF-44E3-9099-C40C66FF867C}">
                  <a14:compatExt spid="_x0000_s139372"/>
                </a:ext>
                <a:ext uri="{FF2B5EF4-FFF2-40B4-BE49-F238E27FC236}">
                  <a16:creationId xmlns:a16="http://schemas.microsoft.com/office/drawing/2014/main" id="{00000000-0008-0000-0C00-00006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39373" name="Option Button 109" hidden="1">
              <a:extLst>
                <a:ext uri="{63B3BB69-23CF-44E3-9099-C40C66FF867C}">
                  <a14:compatExt spid="_x0000_s139373"/>
                </a:ext>
                <a:ext uri="{FF2B5EF4-FFF2-40B4-BE49-F238E27FC236}">
                  <a16:creationId xmlns:a16="http://schemas.microsoft.com/office/drawing/2014/main" id="{00000000-0008-0000-0C00-00006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39374" name="Option Button 110" hidden="1">
              <a:extLst>
                <a:ext uri="{63B3BB69-23CF-44E3-9099-C40C66FF867C}">
                  <a14:compatExt spid="_x0000_s139374"/>
                </a:ext>
                <a:ext uri="{FF2B5EF4-FFF2-40B4-BE49-F238E27FC236}">
                  <a16:creationId xmlns:a16="http://schemas.microsoft.com/office/drawing/2014/main" id="{00000000-0008-0000-0C00-00006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39375" name="Option Button 111" hidden="1">
              <a:extLst>
                <a:ext uri="{63B3BB69-23CF-44E3-9099-C40C66FF867C}">
                  <a14:compatExt spid="_x0000_s139375"/>
                </a:ext>
                <a:ext uri="{FF2B5EF4-FFF2-40B4-BE49-F238E27FC236}">
                  <a16:creationId xmlns:a16="http://schemas.microsoft.com/office/drawing/2014/main" id="{00000000-0008-0000-0C00-00006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39376" name="Option Button 112" hidden="1">
              <a:extLst>
                <a:ext uri="{63B3BB69-23CF-44E3-9099-C40C66FF867C}">
                  <a14:compatExt spid="_x0000_s139376"/>
                </a:ext>
                <a:ext uri="{FF2B5EF4-FFF2-40B4-BE49-F238E27FC236}">
                  <a16:creationId xmlns:a16="http://schemas.microsoft.com/office/drawing/2014/main" id="{00000000-0008-0000-0C00-00007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39377" name="Option Button 113" hidden="1">
              <a:extLst>
                <a:ext uri="{63B3BB69-23CF-44E3-9099-C40C66FF867C}">
                  <a14:compatExt spid="_x0000_s139377"/>
                </a:ext>
                <a:ext uri="{FF2B5EF4-FFF2-40B4-BE49-F238E27FC236}">
                  <a16:creationId xmlns:a16="http://schemas.microsoft.com/office/drawing/2014/main" id="{00000000-0008-0000-0C00-00007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39378" name="Option Button 114" hidden="1">
              <a:extLst>
                <a:ext uri="{63B3BB69-23CF-44E3-9099-C40C66FF867C}">
                  <a14:compatExt spid="_x0000_s139378"/>
                </a:ext>
                <a:ext uri="{FF2B5EF4-FFF2-40B4-BE49-F238E27FC236}">
                  <a16:creationId xmlns:a16="http://schemas.microsoft.com/office/drawing/2014/main" id="{00000000-0008-0000-0C00-00007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39379" name="Option Button 115" hidden="1">
              <a:extLst>
                <a:ext uri="{63B3BB69-23CF-44E3-9099-C40C66FF867C}">
                  <a14:compatExt spid="_x0000_s139379"/>
                </a:ext>
                <a:ext uri="{FF2B5EF4-FFF2-40B4-BE49-F238E27FC236}">
                  <a16:creationId xmlns:a16="http://schemas.microsoft.com/office/drawing/2014/main" id="{00000000-0008-0000-0C00-00007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39380" name="Option Button 116" hidden="1">
              <a:extLst>
                <a:ext uri="{63B3BB69-23CF-44E3-9099-C40C66FF867C}">
                  <a14:compatExt spid="_x0000_s139380"/>
                </a:ext>
                <a:ext uri="{FF2B5EF4-FFF2-40B4-BE49-F238E27FC236}">
                  <a16:creationId xmlns:a16="http://schemas.microsoft.com/office/drawing/2014/main" id="{00000000-0008-0000-0C00-00007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39381" name="Option Button 117" hidden="1">
              <a:extLst>
                <a:ext uri="{63B3BB69-23CF-44E3-9099-C40C66FF867C}">
                  <a14:compatExt spid="_x0000_s139381"/>
                </a:ext>
                <a:ext uri="{FF2B5EF4-FFF2-40B4-BE49-F238E27FC236}">
                  <a16:creationId xmlns:a16="http://schemas.microsoft.com/office/drawing/2014/main" id="{00000000-0008-0000-0C00-00007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39382" name="Option Button 118" hidden="1">
              <a:extLst>
                <a:ext uri="{63B3BB69-23CF-44E3-9099-C40C66FF867C}">
                  <a14:compatExt spid="_x0000_s139382"/>
                </a:ext>
                <a:ext uri="{FF2B5EF4-FFF2-40B4-BE49-F238E27FC236}">
                  <a16:creationId xmlns:a16="http://schemas.microsoft.com/office/drawing/2014/main" id="{00000000-0008-0000-0C00-00007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39383" name="Option Button 119" hidden="1">
              <a:extLst>
                <a:ext uri="{63B3BB69-23CF-44E3-9099-C40C66FF867C}">
                  <a14:compatExt spid="_x0000_s139383"/>
                </a:ext>
                <a:ext uri="{FF2B5EF4-FFF2-40B4-BE49-F238E27FC236}">
                  <a16:creationId xmlns:a16="http://schemas.microsoft.com/office/drawing/2014/main" id="{00000000-0008-0000-0C00-00007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39384" name="Option Button 120" hidden="1">
              <a:extLst>
                <a:ext uri="{63B3BB69-23CF-44E3-9099-C40C66FF867C}">
                  <a14:compatExt spid="_x0000_s139384"/>
                </a:ext>
                <a:ext uri="{FF2B5EF4-FFF2-40B4-BE49-F238E27FC236}">
                  <a16:creationId xmlns:a16="http://schemas.microsoft.com/office/drawing/2014/main" id="{00000000-0008-0000-0C00-00007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39385" name="Option Button 121" hidden="1">
              <a:extLst>
                <a:ext uri="{63B3BB69-23CF-44E3-9099-C40C66FF867C}">
                  <a14:compatExt spid="_x0000_s139385"/>
                </a:ext>
                <a:ext uri="{FF2B5EF4-FFF2-40B4-BE49-F238E27FC236}">
                  <a16:creationId xmlns:a16="http://schemas.microsoft.com/office/drawing/2014/main" id="{00000000-0008-0000-0C00-00007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39386" name="Option Button 122" hidden="1">
              <a:extLst>
                <a:ext uri="{63B3BB69-23CF-44E3-9099-C40C66FF867C}">
                  <a14:compatExt spid="_x0000_s139386"/>
                </a:ext>
                <a:ext uri="{FF2B5EF4-FFF2-40B4-BE49-F238E27FC236}">
                  <a16:creationId xmlns:a16="http://schemas.microsoft.com/office/drawing/2014/main" id="{00000000-0008-0000-0C00-00007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39387" name="Option Button 123" hidden="1">
              <a:extLst>
                <a:ext uri="{63B3BB69-23CF-44E3-9099-C40C66FF867C}">
                  <a14:compatExt spid="_x0000_s139387"/>
                </a:ext>
                <a:ext uri="{FF2B5EF4-FFF2-40B4-BE49-F238E27FC236}">
                  <a16:creationId xmlns:a16="http://schemas.microsoft.com/office/drawing/2014/main" id="{00000000-0008-0000-0C00-00007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39388" name="Option Button 124" hidden="1">
              <a:extLst>
                <a:ext uri="{63B3BB69-23CF-44E3-9099-C40C66FF867C}">
                  <a14:compatExt spid="_x0000_s139388"/>
                </a:ext>
                <a:ext uri="{FF2B5EF4-FFF2-40B4-BE49-F238E27FC236}">
                  <a16:creationId xmlns:a16="http://schemas.microsoft.com/office/drawing/2014/main" id="{00000000-0008-0000-0C00-00007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39389" name="Option Button 125" hidden="1">
              <a:extLst>
                <a:ext uri="{63B3BB69-23CF-44E3-9099-C40C66FF867C}">
                  <a14:compatExt spid="_x0000_s139389"/>
                </a:ext>
                <a:ext uri="{FF2B5EF4-FFF2-40B4-BE49-F238E27FC236}">
                  <a16:creationId xmlns:a16="http://schemas.microsoft.com/office/drawing/2014/main" id="{00000000-0008-0000-0C00-00007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39390" name="Option Button 126" hidden="1">
              <a:extLst>
                <a:ext uri="{63B3BB69-23CF-44E3-9099-C40C66FF867C}">
                  <a14:compatExt spid="_x0000_s139390"/>
                </a:ext>
                <a:ext uri="{FF2B5EF4-FFF2-40B4-BE49-F238E27FC236}">
                  <a16:creationId xmlns:a16="http://schemas.microsoft.com/office/drawing/2014/main" id="{00000000-0008-0000-0C00-00007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39391" name="Option Button 127" hidden="1">
              <a:extLst>
                <a:ext uri="{63B3BB69-23CF-44E3-9099-C40C66FF867C}">
                  <a14:compatExt spid="_x0000_s139391"/>
                </a:ext>
                <a:ext uri="{FF2B5EF4-FFF2-40B4-BE49-F238E27FC236}">
                  <a16:creationId xmlns:a16="http://schemas.microsoft.com/office/drawing/2014/main" id="{00000000-0008-0000-0C00-00007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39392" name="Option Button 128" hidden="1">
              <a:extLst>
                <a:ext uri="{63B3BB69-23CF-44E3-9099-C40C66FF867C}">
                  <a14:compatExt spid="_x0000_s139392"/>
                </a:ext>
                <a:ext uri="{FF2B5EF4-FFF2-40B4-BE49-F238E27FC236}">
                  <a16:creationId xmlns:a16="http://schemas.microsoft.com/office/drawing/2014/main" id="{00000000-0008-0000-0C00-00008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39393" name="Option Button 129" hidden="1">
              <a:extLst>
                <a:ext uri="{63B3BB69-23CF-44E3-9099-C40C66FF867C}">
                  <a14:compatExt spid="_x0000_s139393"/>
                </a:ext>
                <a:ext uri="{FF2B5EF4-FFF2-40B4-BE49-F238E27FC236}">
                  <a16:creationId xmlns:a16="http://schemas.microsoft.com/office/drawing/2014/main" id="{00000000-0008-0000-0C00-00008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39394" name="Option Button 130" hidden="1">
              <a:extLst>
                <a:ext uri="{63B3BB69-23CF-44E3-9099-C40C66FF867C}">
                  <a14:compatExt spid="_x0000_s139394"/>
                </a:ext>
                <a:ext uri="{FF2B5EF4-FFF2-40B4-BE49-F238E27FC236}">
                  <a16:creationId xmlns:a16="http://schemas.microsoft.com/office/drawing/2014/main" id="{00000000-0008-0000-0C00-00008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39395" name="Option Button 131" hidden="1">
              <a:extLst>
                <a:ext uri="{63B3BB69-23CF-44E3-9099-C40C66FF867C}">
                  <a14:compatExt spid="_x0000_s139395"/>
                </a:ext>
                <a:ext uri="{FF2B5EF4-FFF2-40B4-BE49-F238E27FC236}">
                  <a16:creationId xmlns:a16="http://schemas.microsoft.com/office/drawing/2014/main" id="{00000000-0008-0000-0C00-00008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39396" name="Option Button 132" hidden="1">
              <a:extLst>
                <a:ext uri="{63B3BB69-23CF-44E3-9099-C40C66FF867C}">
                  <a14:compatExt spid="_x0000_s139396"/>
                </a:ext>
                <a:ext uri="{FF2B5EF4-FFF2-40B4-BE49-F238E27FC236}">
                  <a16:creationId xmlns:a16="http://schemas.microsoft.com/office/drawing/2014/main" id="{00000000-0008-0000-0C00-00008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39397" name="Option Button 133" hidden="1">
              <a:extLst>
                <a:ext uri="{63B3BB69-23CF-44E3-9099-C40C66FF867C}">
                  <a14:compatExt spid="_x0000_s139397"/>
                </a:ext>
                <a:ext uri="{FF2B5EF4-FFF2-40B4-BE49-F238E27FC236}">
                  <a16:creationId xmlns:a16="http://schemas.microsoft.com/office/drawing/2014/main" id="{00000000-0008-0000-0C00-00008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39398" name="Option Button 134" hidden="1">
              <a:extLst>
                <a:ext uri="{63B3BB69-23CF-44E3-9099-C40C66FF867C}">
                  <a14:compatExt spid="_x0000_s139398"/>
                </a:ext>
                <a:ext uri="{FF2B5EF4-FFF2-40B4-BE49-F238E27FC236}">
                  <a16:creationId xmlns:a16="http://schemas.microsoft.com/office/drawing/2014/main" id="{00000000-0008-0000-0C00-00008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39399" name="Option Button 135" hidden="1">
              <a:extLst>
                <a:ext uri="{63B3BB69-23CF-44E3-9099-C40C66FF867C}">
                  <a14:compatExt spid="_x0000_s139399"/>
                </a:ext>
                <a:ext uri="{FF2B5EF4-FFF2-40B4-BE49-F238E27FC236}">
                  <a16:creationId xmlns:a16="http://schemas.microsoft.com/office/drawing/2014/main" id="{00000000-0008-0000-0C00-00008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39400" name="Option Button 136" hidden="1">
              <a:extLst>
                <a:ext uri="{63B3BB69-23CF-44E3-9099-C40C66FF867C}">
                  <a14:compatExt spid="_x0000_s139400"/>
                </a:ext>
                <a:ext uri="{FF2B5EF4-FFF2-40B4-BE49-F238E27FC236}">
                  <a16:creationId xmlns:a16="http://schemas.microsoft.com/office/drawing/2014/main" id="{00000000-0008-0000-0C00-00008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39401" name="Option Button 137" hidden="1">
              <a:extLst>
                <a:ext uri="{63B3BB69-23CF-44E3-9099-C40C66FF867C}">
                  <a14:compatExt spid="_x0000_s139401"/>
                </a:ext>
                <a:ext uri="{FF2B5EF4-FFF2-40B4-BE49-F238E27FC236}">
                  <a16:creationId xmlns:a16="http://schemas.microsoft.com/office/drawing/2014/main" id="{00000000-0008-0000-0C00-00008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39402" name="Option Button 138" hidden="1">
              <a:extLst>
                <a:ext uri="{63B3BB69-23CF-44E3-9099-C40C66FF867C}">
                  <a14:compatExt spid="_x0000_s139402"/>
                </a:ext>
                <a:ext uri="{FF2B5EF4-FFF2-40B4-BE49-F238E27FC236}">
                  <a16:creationId xmlns:a16="http://schemas.microsoft.com/office/drawing/2014/main" id="{00000000-0008-0000-0C00-00008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6725</xdr:colOff>
      <xdr:row>9</xdr:row>
      <xdr:rowOff>11206</xdr:rowOff>
    </xdr:from>
    <xdr:to>
      <xdr:col>2</xdr:col>
      <xdr:colOff>1176368</xdr:colOff>
      <xdr:row>10</xdr:row>
      <xdr:rowOff>364707</xdr:rowOff>
    </xdr:to>
    <xdr:pic>
      <xdr:nvPicPr>
        <xdr:cNvPr id="10" name="図 9">
          <a:extLst>
            <a:ext uri="{FF2B5EF4-FFF2-40B4-BE49-F238E27FC236}">
              <a16:creationId xmlns:a16="http://schemas.microsoft.com/office/drawing/2014/main" id="{00000000-0008-0000-0D00-00000A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55813" y="2767853"/>
          <a:ext cx="1169643" cy="734501"/>
        </a:xfrm>
        <a:prstGeom prst="rect">
          <a:avLst/>
        </a:prstGeom>
      </xdr:spPr>
    </xdr:pic>
    <xdr:clientData/>
  </xdr:twoCellAnchor>
  <xdr:twoCellAnchor>
    <xdr:from>
      <xdr:col>2</xdr:col>
      <xdr:colOff>302435</xdr:colOff>
      <xdr:row>7</xdr:row>
      <xdr:rowOff>141195</xdr:rowOff>
    </xdr:from>
    <xdr:to>
      <xdr:col>2</xdr:col>
      <xdr:colOff>880658</xdr:colOff>
      <xdr:row>8</xdr:row>
      <xdr:rowOff>284630</xdr:rowOff>
    </xdr:to>
    <xdr:pic>
      <xdr:nvPicPr>
        <xdr:cNvPr id="2" name="図 1" descr="アイコン&#10;&#10;自動的に生成された説明">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51523" y="2135842"/>
          <a:ext cx="578223" cy="524435"/>
        </a:xfrm>
        <a:prstGeom prst="rect">
          <a:avLst/>
        </a:prstGeom>
      </xdr:spPr>
    </xdr:pic>
    <xdr:clientData/>
  </xdr:twoCellAnchor>
  <xdr:twoCellAnchor>
    <xdr:from>
      <xdr:col>2</xdr:col>
      <xdr:colOff>244164</xdr:colOff>
      <xdr:row>5</xdr:row>
      <xdr:rowOff>78442</xdr:rowOff>
    </xdr:from>
    <xdr:to>
      <xdr:col>2</xdr:col>
      <xdr:colOff>938928</xdr:colOff>
      <xdr:row>6</xdr:row>
      <xdr:rowOff>338419</xdr:rowOff>
    </xdr:to>
    <xdr:pic>
      <xdr:nvPicPr>
        <xdr:cNvPr id="3" name="図 2" descr="ロゴ&#10;&#10;自動的に生成された説明">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3252" y="1311089"/>
          <a:ext cx="694764" cy="640977"/>
        </a:xfrm>
        <a:prstGeom prst="rect">
          <a:avLst/>
        </a:prstGeom>
      </xdr:spPr>
    </xdr:pic>
    <xdr:clientData/>
  </xdr:twoCellAnchor>
  <xdr:twoCellAnchor>
    <xdr:from>
      <xdr:col>2</xdr:col>
      <xdr:colOff>271059</xdr:colOff>
      <xdr:row>11</xdr:row>
      <xdr:rowOff>96372</xdr:rowOff>
    </xdr:from>
    <xdr:to>
      <xdr:col>2</xdr:col>
      <xdr:colOff>912034</xdr:colOff>
      <xdr:row>12</xdr:row>
      <xdr:rowOff>302560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0147" y="3615019"/>
          <a:ext cx="640975" cy="587188"/>
        </a:xfrm>
        <a:prstGeom prst="rect">
          <a:avLst/>
        </a:prstGeom>
      </xdr:spPr>
    </xdr:pic>
    <xdr:clientData/>
  </xdr:twoCellAnchor>
  <xdr:twoCellAnchor editAs="oneCell">
    <xdr:from>
      <xdr:col>2</xdr:col>
      <xdr:colOff>244880</xdr:colOff>
      <xdr:row>13</xdr:row>
      <xdr:rowOff>44827</xdr:rowOff>
    </xdr:from>
    <xdr:to>
      <xdr:col>2</xdr:col>
      <xdr:colOff>938213</xdr:colOff>
      <xdr:row>14</xdr:row>
      <xdr:rowOff>343827</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93968" y="4325474"/>
          <a:ext cx="693333" cy="6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13</xdr:row>
          <xdr:rowOff>285750</xdr:rowOff>
        </xdr:from>
        <xdr:to>
          <xdr:col>4</xdr:col>
          <xdr:colOff>660400</xdr:colOff>
          <xdr:row>14</xdr:row>
          <xdr:rowOff>114300</xdr:rowOff>
        </xdr:to>
        <xdr:sp macro="" textlink="">
          <xdr:nvSpPr>
            <xdr:cNvPr id="155655" name="Check Box 7" hidden="1">
              <a:extLst>
                <a:ext uri="{63B3BB69-23CF-44E3-9099-C40C66FF867C}">
                  <a14:compatExt spid="_x0000_s155655"/>
                </a:ext>
                <a:ext uri="{FF2B5EF4-FFF2-40B4-BE49-F238E27FC236}">
                  <a16:creationId xmlns:a16="http://schemas.microsoft.com/office/drawing/2014/main" id="{00000000-0008-0000-0D00-00000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248118</xdr:colOff>
      <xdr:row>15</xdr:row>
      <xdr:rowOff>44827</xdr:rowOff>
    </xdr:from>
    <xdr:to>
      <xdr:col>2</xdr:col>
      <xdr:colOff>934975</xdr:colOff>
      <xdr:row>16</xdr:row>
      <xdr:rowOff>350684</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97206" y="5087474"/>
          <a:ext cx="686857" cy="686857"/>
        </a:xfrm>
        <a:prstGeom prst="rect">
          <a:avLst/>
        </a:prstGeom>
      </xdr:spPr>
    </xdr:pic>
    <xdr:clientData/>
  </xdr:twoCellAnchor>
  <xdr:twoCellAnchor>
    <xdr:from>
      <xdr:col>2</xdr:col>
      <xdr:colOff>263927</xdr:colOff>
      <xdr:row>17</xdr:row>
      <xdr:rowOff>67264</xdr:rowOff>
    </xdr:from>
    <xdr:to>
      <xdr:col>2</xdr:col>
      <xdr:colOff>919165</xdr:colOff>
      <xdr:row>18</xdr:row>
      <xdr:rowOff>341502</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13015" y="5871911"/>
          <a:ext cx="655238" cy="655238"/>
        </a:xfrm>
        <a:prstGeom prst="rect">
          <a:avLst/>
        </a:prstGeom>
      </xdr:spPr>
    </xdr:pic>
    <xdr:clientData/>
  </xdr:twoCellAnchor>
  <xdr:twoCellAnchor>
    <xdr:from>
      <xdr:col>2</xdr:col>
      <xdr:colOff>241546</xdr:colOff>
      <xdr:row>19</xdr:row>
      <xdr:rowOff>33646</xdr:rowOff>
    </xdr:from>
    <xdr:to>
      <xdr:col>2</xdr:col>
      <xdr:colOff>941546</xdr:colOff>
      <xdr:row>20</xdr:row>
      <xdr:rowOff>352646</xdr:rowOff>
    </xdr:to>
    <xdr:pic>
      <xdr:nvPicPr>
        <xdr:cNvPr id="8" name="図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90634" y="6600293"/>
          <a:ext cx="700000" cy="7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21</xdr:row>
          <xdr:rowOff>285750</xdr:rowOff>
        </xdr:from>
        <xdr:to>
          <xdr:col>4</xdr:col>
          <xdr:colOff>660400</xdr:colOff>
          <xdr:row>22</xdr:row>
          <xdr:rowOff>114300</xdr:rowOff>
        </xdr:to>
        <xdr:sp macro="" textlink="">
          <xdr:nvSpPr>
            <xdr:cNvPr id="155664" name="Check Box 16" hidden="1">
              <a:extLst>
                <a:ext uri="{63B3BB69-23CF-44E3-9099-C40C66FF867C}">
                  <a14:compatExt spid="_x0000_s155664"/>
                </a:ext>
                <a:ext uri="{FF2B5EF4-FFF2-40B4-BE49-F238E27FC236}">
                  <a16:creationId xmlns:a16="http://schemas.microsoft.com/office/drawing/2014/main" id="{00000000-0008-0000-0D00-00001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274594</xdr:colOff>
      <xdr:row>21</xdr:row>
      <xdr:rowOff>56035</xdr:rowOff>
    </xdr:from>
    <xdr:to>
      <xdr:col>2</xdr:col>
      <xdr:colOff>908499</xdr:colOff>
      <xdr:row>22</xdr:row>
      <xdr:rowOff>308940</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23682" y="2050682"/>
          <a:ext cx="633905" cy="633905"/>
        </a:xfrm>
        <a:prstGeom prst="rect">
          <a:avLst/>
        </a:prstGeom>
      </xdr:spPr>
    </xdr:pic>
    <xdr:clientData/>
  </xdr:twoCellAnchor>
  <xdr:twoCellAnchor>
    <xdr:from>
      <xdr:col>2</xdr:col>
      <xdr:colOff>246532</xdr:colOff>
      <xdr:row>23</xdr:row>
      <xdr:rowOff>22412</xdr:rowOff>
    </xdr:from>
    <xdr:to>
      <xdr:col>2</xdr:col>
      <xdr:colOff>914403</xdr:colOff>
      <xdr:row>24</xdr:row>
      <xdr:rowOff>347025</xdr:rowOff>
    </xdr:to>
    <xdr:pic>
      <xdr:nvPicPr>
        <xdr:cNvPr id="24" name="図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95620" y="8113059"/>
          <a:ext cx="667871" cy="7056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25</xdr:row>
          <xdr:rowOff>285750</xdr:rowOff>
        </xdr:from>
        <xdr:to>
          <xdr:col>4</xdr:col>
          <xdr:colOff>660400</xdr:colOff>
          <xdr:row>26</xdr:row>
          <xdr:rowOff>114300</xdr:rowOff>
        </xdr:to>
        <xdr:sp macro="" textlink="">
          <xdr:nvSpPr>
            <xdr:cNvPr id="155668" name="Check Box 20" hidden="1">
              <a:extLst>
                <a:ext uri="{63B3BB69-23CF-44E3-9099-C40C66FF867C}">
                  <a14:compatExt spid="_x0000_s155668"/>
                </a:ext>
                <a:ext uri="{FF2B5EF4-FFF2-40B4-BE49-F238E27FC236}">
                  <a16:creationId xmlns:a16="http://schemas.microsoft.com/office/drawing/2014/main" id="{00000000-0008-0000-0D00-00001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235333</xdr:colOff>
      <xdr:row>25</xdr:row>
      <xdr:rowOff>33625</xdr:rowOff>
    </xdr:from>
    <xdr:to>
      <xdr:col>2</xdr:col>
      <xdr:colOff>921048</xdr:colOff>
      <xdr:row>26</xdr:row>
      <xdr:rowOff>338340</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84421" y="8886272"/>
          <a:ext cx="685715" cy="685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27</xdr:row>
          <xdr:rowOff>285750</xdr:rowOff>
        </xdr:from>
        <xdr:to>
          <xdr:col>4</xdr:col>
          <xdr:colOff>660400</xdr:colOff>
          <xdr:row>28</xdr:row>
          <xdr:rowOff>114300</xdr:rowOff>
        </xdr:to>
        <xdr:sp macro="" textlink="">
          <xdr:nvSpPr>
            <xdr:cNvPr id="155669" name="Check Box 21" hidden="1">
              <a:extLst>
                <a:ext uri="{63B3BB69-23CF-44E3-9099-C40C66FF867C}">
                  <a14:compatExt spid="_x0000_s155669"/>
                </a:ext>
                <a:ext uri="{FF2B5EF4-FFF2-40B4-BE49-F238E27FC236}">
                  <a16:creationId xmlns:a16="http://schemas.microsoft.com/office/drawing/2014/main" id="{00000000-0008-0000-0D00-00001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29</xdr:row>
          <xdr:rowOff>285750</xdr:rowOff>
        </xdr:from>
        <xdr:to>
          <xdr:col>4</xdr:col>
          <xdr:colOff>660400</xdr:colOff>
          <xdr:row>30</xdr:row>
          <xdr:rowOff>114300</xdr:rowOff>
        </xdr:to>
        <xdr:sp macro="" textlink="">
          <xdr:nvSpPr>
            <xdr:cNvPr id="155670" name="Check Box 22" hidden="1">
              <a:extLst>
                <a:ext uri="{63B3BB69-23CF-44E3-9099-C40C66FF867C}">
                  <a14:compatExt spid="_x0000_s155670"/>
                </a:ext>
                <a:ext uri="{FF2B5EF4-FFF2-40B4-BE49-F238E27FC236}">
                  <a16:creationId xmlns:a16="http://schemas.microsoft.com/office/drawing/2014/main" id="{00000000-0008-0000-0D00-00001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224141</xdr:colOff>
      <xdr:row>27</xdr:row>
      <xdr:rowOff>33639</xdr:rowOff>
    </xdr:from>
    <xdr:to>
      <xdr:col>2</xdr:col>
      <xdr:colOff>939855</xdr:colOff>
      <xdr:row>28</xdr:row>
      <xdr:rowOff>368353</xdr:rowOff>
    </xdr:to>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2"/>
        <a:stretch>
          <a:fillRect/>
        </a:stretch>
      </xdr:blipFill>
      <xdr:spPr>
        <a:xfrm>
          <a:off x="773229" y="8886286"/>
          <a:ext cx="715714" cy="715714"/>
        </a:xfrm>
        <a:prstGeom prst="rect">
          <a:avLst/>
        </a:prstGeom>
      </xdr:spPr>
    </xdr:pic>
    <xdr:clientData/>
  </xdr:twoCellAnchor>
  <xdr:twoCellAnchor editAs="oneCell">
    <xdr:from>
      <xdr:col>2</xdr:col>
      <xdr:colOff>224129</xdr:colOff>
      <xdr:row>29</xdr:row>
      <xdr:rowOff>33627</xdr:rowOff>
    </xdr:from>
    <xdr:to>
      <xdr:col>2</xdr:col>
      <xdr:colOff>918986</xdr:colOff>
      <xdr:row>30</xdr:row>
      <xdr:rowOff>347484</xdr:rowOff>
    </xdr:to>
    <xdr:pic>
      <xdr:nvPicPr>
        <xdr:cNvPr id="13" name="図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3"/>
        <a:stretch>
          <a:fillRect/>
        </a:stretch>
      </xdr:blipFill>
      <xdr:spPr>
        <a:xfrm>
          <a:off x="773217" y="9648274"/>
          <a:ext cx="694857" cy="6948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203200</xdr:colOff>
          <xdr:row>31</xdr:row>
          <xdr:rowOff>285750</xdr:rowOff>
        </xdr:from>
        <xdr:to>
          <xdr:col>4</xdr:col>
          <xdr:colOff>660400</xdr:colOff>
          <xdr:row>32</xdr:row>
          <xdr:rowOff>114300</xdr:rowOff>
        </xdr:to>
        <xdr:sp macro="" textlink="">
          <xdr:nvSpPr>
            <xdr:cNvPr id="155673" name="Check Box 25" hidden="1">
              <a:extLst>
                <a:ext uri="{63B3BB69-23CF-44E3-9099-C40C66FF867C}">
                  <a14:compatExt spid="_x0000_s155673"/>
                </a:ext>
                <a:ext uri="{FF2B5EF4-FFF2-40B4-BE49-F238E27FC236}">
                  <a16:creationId xmlns:a16="http://schemas.microsoft.com/office/drawing/2014/main" id="{00000000-0008-0000-0D00-00001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190502</xdr:colOff>
      <xdr:row>31</xdr:row>
      <xdr:rowOff>22412</xdr:rowOff>
    </xdr:from>
    <xdr:to>
      <xdr:col>2</xdr:col>
      <xdr:colOff>922022</xdr:colOff>
      <xdr:row>32</xdr:row>
      <xdr:rowOff>372932</xdr:rowOff>
    </xdr:to>
    <xdr:pic>
      <xdr:nvPicPr>
        <xdr:cNvPr id="30" name="図 29" descr="C:\Users\tchiba\AppData\Local\Packages\Microsoft.Windows.Photos_8wekyb3d8bbwe\TempState\ShareServiceTempFolder\CASHIER POS_icon.jpeg">
          <a:extLst>
            <a:ext uri="{FF2B5EF4-FFF2-40B4-BE49-F238E27FC236}">
              <a16:creationId xmlns:a16="http://schemas.microsoft.com/office/drawing/2014/main" id="{00000000-0008-0000-0D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39590" y="5065059"/>
          <a:ext cx="7315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224120</xdr:colOff>
      <xdr:row>33</xdr:row>
      <xdr:rowOff>56030</xdr:rowOff>
    </xdr:from>
    <xdr:to>
      <xdr:col>2</xdr:col>
      <xdr:colOff>874360</xdr:colOff>
      <xdr:row>34</xdr:row>
      <xdr:rowOff>325270</xdr:rowOff>
    </xdr:to>
    <xdr:pic>
      <xdr:nvPicPr>
        <xdr:cNvPr id="31" name="図 30" descr="C:\Users\tchiba\AppData\Local\Packages\Microsoft.Windows.Photos_8wekyb3d8bbwe\TempState\ShareServiceTempFolder\icon_handy.jpeg">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3208" y="11956677"/>
          <a:ext cx="650240" cy="65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144562</xdr:colOff>
      <xdr:row>11</xdr:row>
      <xdr:rowOff>98742</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222250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1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222250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1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222250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1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1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31750</xdr:rowOff>
        </xdr:from>
        <xdr:to>
          <xdr:col>10</xdr:col>
          <xdr:colOff>247650</xdr:colOff>
          <xdr:row>17</xdr:row>
          <xdr:rowOff>241300</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01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9104</xdr:colOff>
      <xdr:row>121</xdr:row>
      <xdr:rowOff>114197</xdr:rowOff>
    </xdr:from>
    <xdr:to>
      <xdr:col>11</xdr:col>
      <xdr:colOff>153666</xdr:colOff>
      <xdr:row>122</xdr:row>
      <xdr:rowOff>212941</xdr:rowOff>
    </xdr:to>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524575" y="19343491"/>
          <a:ext cx="2464179" cy="345274"/>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01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89098" name="Check Box 10" hidden="1">
              <a:extLst>
                <a:ext uri="{63B3BB69-23CF-44E3-9099-C40C66FF867C}">
                  <a14:compatExt spid="_x0000_s89098"/>
                </a:ext>
                <a:ext uri="{FF2B5EF4-FFF2-40B4-BE49-F238E27FC236}">
                  <a16:creationId xmlns:a16="http://schemas.microsoft.com/office/drawing/2014/main" id="{00000000-0008-0000-0100-00000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89099" name="Check Box 11" hidden="1">
              <a:extLst>
                <a:ext uri="{63B3BB69-23CF-44E3-9099-C40C66FF867C}">
                  <a14:compatExt spid="_x0000_s89099"/>
                </a:ext>
                <a:ext uri="{FF2B5EF4-FFF2-40B4-BE49-F238E27FC236}">
                  <a16:creationId xmlns:a16="http://schemas.microsoft.com/office/drawing/2014/main" id="{00000000-0008-0000-0100-00000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19050</xdr:rowOff>
        </xdr:from>
        <xdr:to>
          <xdr:col>11</xdr:col>
          <xdr:colOff>19050</xdr:colOff>
          <xdr:row>31</xdr:row>
          <xdr:rowOff>228600</xdr:rowOff>
        </xdr:to>
        <xdr:sp macro="" textlink="">
          <xdr:nvSpPr>
            <xdr:cNvPr id="89100" name="Check Box 12" hidden="1">
              <a:extLst>
                <a:ext uri="{63B3BB69-23CF-44E3-9099-C40C66FF867C}">
                  <a14:compatExt spid="_x0000_s89100"/>
                </a:ext>
                <a:ext uri="{FF2B5EF4-FFF2-40B4-BE49-F238E27FC236}">
                  <a16:creationId xmlns:a16="http://schemas.microsoft.com/office/drawing/2014/main" id="{00000000-0008-0000-0100-00000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89101" name="Check Box 13" hidden="1">
              <a:extLst>
                <a:ext uri="{63B3BB69-23CF-44E3-9099-C40C66FF867C}">
                  <a14:compatExt spid="_x0000_s89101"/>
                </a:ext>
                <a:ext uri="{FF2B5EF4-FFF2-40B4-BE49-F238E27FC236}">
                  <a16:creationId xmlns:a16="http://schemas.microsoft.com/office/drawing/2014/main" id="{00000000-0008-0000-0100-00000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07" name="Group Box 19" hidden="1">
              <a:extLst>
                <a:ext uri="{63B3BB69-23CF-44E3-9099-C40C66FF867C}">
                  <a14:compatExt spid="_x0000_s89107"/>
                </a:ext>
                <a:ext uri="{FF2B5EF4-FFF2-40B4-BE49-F238E27FC236}">
                  <a16:creationId xmlns:a16="http://schemas.microsoft.com/office/drawing/2014/main" id="{00000000-0008-0000-0100-000013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16" name="Group Box 28" hidden="1">
              <a:extLst>
                <a:ext uri="{63B3BB69-23CF-44E3-9099-C40C66FF867C}">
                  <a14:compatExt spid="_x0000_s89116"/>
                </a:ext>
                <a:ext uri="{FF2B5EF4-FFF2-40B4-BE49-F238E27FC236}">
                  <a16:creationId xmlns:a16="http://schemas.microsoft.com/office/drawing/2014/main" id="{00000000-0008-0000-0100-00001C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31750</xdr:rowOff>
        </xdr:to>
        <xdr:sp macro="" textlink="">
          <xdr:nvSpPr>
            <xdr:cNvPr id="89122" name="Group Box 34" hidden="1">
              <a:extLst>
                <a:ext uri="{63B3BB69-23CF-44E3-9099-C40C66FF867C}">
                  <a14:compatExt spid="_x0000_s89122"/>
                </a:ext>
                <a:ext uri="{FF2B5EF4-FFF2-40B4-BE49-F238E27FC236}">
                  <a16:creationId xmlns:a16="http://schemas.microsoft.com/office/drawing/2014/main" id="{00000000-0008-0000-0100-000022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24" name="Group Box 36" hidden="1">
              <a:extLst>
                <a:ext uri="{63B3BB69-23CF-44E3-9099-C40C66FF867C}">
                  <a14:compatExt spid="_x0000_s89124"/>
                </a:ext>
                <a:ext uri="{FF2B5EF4-FFF2-40B4-BE49-F238E27FC236}">
                  <a16:creationId xmlns:a16="http://schemas.microsoft.com/office/drawing/2014/main" id="{00000000-0008-0000-0100-000024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xdr:twoCellAnchor>
    <xdr:from>
      <xdr:col>1</xdr:col>
      <xdr:colOff>212912</xdr:colOff>
      <xdr:row>1</xdr:row>
      <xdr:rowOff>145676</xdr:rowOff>
    </xdr:from>
    <xdr:to>
      <xdr:col>46</xdr:col>
      <xdr:colOff>44823</xdr:colOff>
      <xdr:row>5</xdr:row>
      <xdr:rowOff>115120</xdr:rowOff>
    </xdr:to>
    <xdr:sp macro="" textlink="">
      <xdr:nvSpPr>
        <xdr:cNvPr id="44" name="角丸四角形吹き出し 43">
          <a:extLst>
            <a:ext uri="{FF2B5EF4-FFF2-40B4-BE49-F238E27FC236}">
              <a16:creationId xmlns:a16="http://schemas.microsoft.com/office/drawing/2014/main" id="{00000000-0008-0000-0100-00002C000000}"/>
            </a:ext>
          </a:extLst>
        </xdr:cNvPr>
        <xdr:cNvSpPr/>
      </xdr:nvSpPr>
      <xdr:spPr>
        <a:xfrm>
          <a:off x="470647" y="392205"/>
          <a:ext cx="11430000" cy="955562"/>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12</xdr:row>
      <xdr:rowOff>56030</xdr:rowOff>
    </xdr:from>
    <xdr:to>
      <xdr:col>45</xdr:col>
      <xdr:colOff>194942</xdr:colOff>
      <xdr:row>17</xdr:row>
      <xdr:rowOff>212913</xdr:rowOff>
    </xdr:to>
    <xdr:sp macro="" textlink="">
      <xdr:nvSpPr>
        <xdr:cNvPr id="45" name="角丸四角形吹き出し 44">
          <a:extLst>
            <a:ext uri="{FF2B5EF4-FFF2-40B4-BE49-F238E27FC236}">
              <a16:creationId xmlns:a16="http://schemas.microsoft.com/office/drawing/2014/main" id="{00000000-0008-0000-0100-00002D000000}"/>
            </a:ext>
          </a:extLst>
        </xdr:cNvPr>
        <xdr:cNvSpPr/>
      </xdr:nvSpPr>
      <xdr:spPr>
        <a:xfrm>
          <a:off x="2879912" y="3014383"/>
          <a:ext cx="8913118" cy="1389530"/>
        </a:xfrm>
        <a:prstGeom prst="wedgeRoundRectCallout">
          <a:avLst>
            <a:gd name="adj1" fmla="val -35446"/>
            <a:gd name="adj2" fmla="val 6642"/>
            <a:gd name="adj3" fmla="val 16667"/>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editAs="oneCell">
    <xdr:from>
      <xdr:col>23</xdr:col>
      <xdr:colOff>142876</xdr:colOff>
      <xdr:row>121</xdr:row>
      <xdr:rowOff>100853</xdr:rowOff>
    </xdr:from>
    <xdr:to>
      <xdr:col>39</xdr:col>
      <xdr:colOff>560</xdr:colOff>
      <xdr:row>122</xdr:row>
      <xdr:rowOff>201704</xdr:rowOff>
    </xdr:to>
    <xdr:sp macro="" textlink="">
      <xdr:nvSpPr>
        <xdr:cNvPr id="49" name="角丸四角形吹き出し 48">
          <a:extLst>
            <a:ext uri="{FF2B5EF4-FFF2-40B4-BE49-F238E27FC236}">
              <a16:creationId xmlns:a16="http://schemas.microsoft.com/office/drawing/2014/main" id="{00000000-0008-0000-0100-000031000000}"/>
            </a:ext>
          </a:extLst>
        </xdr:cNvPr>
        <xdr:cNvSpPr/>
      </xdr:nvSpPr>
      <xdr:spPr>
        <a:xfrm>
          <a:off x="5619751" y="19417553"/>
          <a:ext cx="3667684" cy="348501"/>
        </a:xfrm>
        <a:prstGeom prst="wedgeRoundRectCallout">
          <a:avLst>
            <a:gd name="adj1" fmla="val -21999"/>
            <a:gd name="adj2" fmla="val 7815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希望数は赤網掛けが残らないように「</a:t>
          </a:r>
          <a:r>
            <a:rPr kumimoji="1" lang="en-US" altLang="ja-JP"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0</a:t>
          </a:r>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台」もご入力ください。</a:t>
          </a:r>
        </a:p>
      </xdr:txBody>
    </xdr:sp>
    <xdr:clientData/>
  </xdr:twoCellAnchor>
  <xdr:twoCellAnchor>
    <xdr:from>
      <xdr:col>11</xdr:col>
      <xdr:colOff>44824</xdr:colOff>
      <xdr:row>25</xdr:row>
      <xdr:rowOff>33618</xdr:rowOff>
    </xdr:from>
    <xdr:to>
      <xdr:col>45</xdr:col>
      <xdr:colOff>201706</xdr:colOff>
      <xdr:row>33</xdr:row>
      <xdr:rowOff>201704</xdr:rowOff>
    </xdr:to>
    <xdr:sp macro="" textlink="">
      <xdr:nvSpPr>
        <xdr:cNvPr id="50" name="角丸四角形 49">
          <a:extLst>
            <a:ext uri="{FF2B5EF4-FFF2-40B4-BE49-F238E27FC236}">
              <a16:creationId xmlns:a16="http://schemas.microsoft.com/office/drawing/2014/main" id="{00000000-0008-0000-0100-000032000000}"/>
            </a:ext>
          </a:extLst>
        </xdr:cNvPr>
        <xdr:cNvSpPr/>
      </xdr:nvSpPr>
      <xdr:spPr>
        <a:xfrm>
          <a:off x="2879912" y="5950324"/>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10</xdr:col>
          <xdr:colOff>247650</xdr:colOff>
          <xdr:row>17</xdr:row>
          <xdr:rowOff>228600</xdr:rowOff>
        </xdr:to>
        <xdr:sp macro="" textlink="">
          <xdr:nvSpPr>
            <xdr:cNvPr id="89163" name="Check Box 75" hidden="1">
              <a:extLst>
                <a:ext uri="{63B3BB69-23CF-44E3-9099-C40C66FF867C}">
                  <a14:compatExt spid="_x0000_s89163"/>
                </a:ext>
                <a:ext uri="{FF2B5EF4-FFF2-40B4-BE49-F238E27FC236}">
                  <a16:creationId xmlns:a16="http://schemas.microsoft.com/office/drawing/2014/main" id="{00000000-0008-0000-0100-00004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10</xdr:col>
          <xdr:colOff>247650</xdr:colOff>
          <xdr:row>16</xdr:row>
          <xdr:rowOff>107950</xdr:rowOff>
        </xdr:to>
        <xdr:sp macro="" textlink="">
          <xdr:nvSpPr>
            <xdr:cNvPr id="89165" name="Check Box 77" hidden="1">
              <a:extLst>
                <a:ext uri="{63B3BB69-23CF-44E3-9099-C40C66FF867C}">
                  <a14:compatExt spid="_x0000_s89165"/>
                </a:ext>
                <a:ext uri="{FF2B5EF4-FFF2-40B4-BE49-F238E27FC236}">
                  <a16:creationId xmlns:a16="http://schemas.microsoft.com/office/drawing/2014/main" id="{00000000-0008-0000-0100-00004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6" name="Group Box 78" hidden="1">
              <a:extLst>
                <a:ext uri="{63B3BB69-23CF-44E3-9099-C40C66FF867C}">
                  <a14:compatExt spid="_x0000_s89166"/>
                </a:ext>
                <a:ext uri="{FF2B5EF4-FFF2-40B4-BE49-F238E27FC236}">
                  <a16:creationId xmlns:a16="http://schemas.microsoft.com/office/drawing/2014/main" id="{00000000-0008-0000-0100-00004E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24</xdr:col>
          <xdr:colOff>38100</xdr:colOff>
          <xdr:row>39</xdr:row>
          <xdr:rowOff>241300</xdr:rowOff>
        </xdr:to>
        <xdr:sp macro="" textlink="">
          <xdr:nvSpPr>
            <xdr:cNvPr id="89167" name="Group Box 79" hidden="1">
              <a:extLst>
                <a:ext uri="{63B3BB69-23CF-44E3-9099-C40C66FF867C}">
                  <a14:compatExt spid="_x0000_s89167"/>
                </a:ext>
                <a:ext uri="{FF2B5EF4-FFF2-40B4-BE49-F238E27FC236}">
                  <a16:creationId xmlns:a16="http://schemas.microsoft.com/office/drawing/2014/main" id="{00000000-0008-0000-0100-00004F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33</xdr:row>
          <xdr:rowOff>0</xdr:rowOff>
        </xdr:from>
        <xdr:to>
          <xdr:col>36</xdr:col>
          <xdr:colOff>127000</xdr:colOff>
          <xdr:row>39</xdr:row>
          <xdr:rowOff>19050</xdr:rowOff>
        </xdr:to>
        <xdr:sp macro="" textlink="">
          <xdr:nvSpPr>
            <xdr:cNvPr id="89168" name="Group Box 80" hidden="1">
              <a:extLst>
                <a:ext uri="{63B3BB69-23CF-44E3-9099-C40C66FF867C}">
                  <a14:compatExt spid="_x0000_s89168"/>
                </a:ext>
                <a:ext uri="{FF2B5EF4-FFF2-40B4-BE49-F238E27FC236}">
                  <a16:creationId xmlns:a16="http://schemas.microsoft.com/office/drawing/2014/main" id="{00000000-0008-0000-0100-000050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0</xdr:rowOff>
        </xdr:from>
        <xdr:to>
          <xdr:col>22</xdr:col>
          <xdr:colOff>190500</xdr:colOff>
          <xdr:row>39</xdr:row>
          <xdr:rowOff>152400</xdr:rowOff>
        </xdr:to>
        <xdr:sp macro="" textlink="">
          <xdr:nvSpPr>
            <xdr:cNvPr id="89169" name="Group Box 81" hidden="1">
              <a:extLst>
                <a:ext uri="{63B3BB69-23CF-44E3-9099-C40C66FF867C}">
                  <a14:compatExt spid="_x0000_s89169"/>
                </a:ext>
                <a:ext uri="{FF2B5EF4-FFF2-40B4-BE49-F238E27FC236}">
                  <a16:creationId xmlns:a16="http://schemas.microsoft.com/office/drawing/2014/main" id="{00000000-0008-0000-0100-000051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89170" name="Check Box 82" hidden="1">
              <a:extLst>
                <a:ext uri="{63B3BB69-23CF-44E3-9099-C40C66FF867C}">
                  <a14:compatExt spid="_x0000_s89170"/>
                </a:ext>
                <a:ext uri="{FF2B5EF4-FFF2-40B4-BE49-F238E27FC236}">
                  <a16:creationId xmlns:a16="http://schemas.microsoft.com/office/drawing/2014/main" id="{00000000-0008-0000-0100-00005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9171" name="Check Box 83" hidden="1">
              <a:extLst>
                <a:ext uri="{63B3BB69-23CF-44E3-9099-C40C66FF867C}">
                  <a14:compatExt spid="_x0000_s89171"/>
                </a:ext>
                <a:ext uri="{FF2B5EF4-FFF2-40B4-BE49-F238E27FC236}">
                  <a16:creationId xmlns:a16="http://schemas.microsoft.com/office/drawing/2014/main" id="{00000000-0008-0000-0100-00005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44824</xdr:colOff>
      <xdr:row>40</xdr:row>
      <xdr:rowOff>29136</xdr:rowOff>
    </xdr:from>
    <xdr:to>
      <xdr:col>45</xdr:col>
      <xdr:colOff>201706</xdr:colOff>
      <xdr:row>49</xdr:row>
      <xdr:rowOff>197222</xdr:rowOff>
    </xdr:to>
    <xdr:sp macro="" textlink="">
      <xdr:nvSpPr>
        <xdr:cNvPr id="40" name="角丸四角形 39">
          <a:extLst>
            <a:ext uri="{FF2B5EF4-FFF2-40B4-BE49-F238E27FC236}">
              <a16:creationId xmlns:a16="http://schemas.microsoft.com/office/drawing/2014/main" id="{00000000-0008-0000-0100-000028000000}"/>
            </a:ext>
          </a:extLst>
        </xdr:cNvPr>
        <xdr:cNvSpPr/>
      </xdr:nvSpPr>
      <xdr:spPr>
        <a:xfrm>
          <a:off x="2879912" y="8411136"/>
          <a:ext cx="8919882" cy="2140321"/>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9172" name="Check Box 84" hidden="1">
              <a:extLst>
                <a:ext uri="{63B3BB69-23CF-44E3-9099-C40C66FF867C}">
                  <a14:compatExt spid="_x0000_s89172"/>
                </a:ext>
                <a:ext uri="{FF2B5EF4-FFF2-40B4-BE49-F238E27FC236}">
                  <a16:creationId xmlns:a16="http://schemas.microsoft.com/office/drawing/2014/main" id="{00000000-0008-0000-0100-00005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9173" name="Check Box 85" hidden="1">
              <a:extLst>
                <a:ext uri="{63B3BB69-23CF-44E3-9099-C40C66FF867C}">
                  <a14:compatExt spid="_x0000_s89173"/>
                </a:ext>
                <a:ext uri="{FF2B5EF4-FFF2-40B4-BE49-F238E27FC236}">
                  <a16:creationId xmlns:a16="http://schemas.microsoft.com/office/drawing/2014/main" id="{00000000-0008-0000-0100-00005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152400</xdr:rowOff>
        </xdr:from>
        <xdr:to>
          <xdr:col>11</xdr:col>
          <xdr:colOff>19050</xdr:colOff>
          <xdr:row>47</xdr:row>
          <xdr:rowOff>114300</xdr:rowOff>
        </xdr:to>
        <xdr:sp macro="" textlink="">
          <xdr:nvSpPr>
            <xdr:cNvPr id="89174" name="Check Box 86" hidden="1">
              <a:extLst>
                <a:ext uri="{63B3BB69-23CF-44E3-9099-C40C66FF867C}">
                  <a14:compatExt spid="_x0000_s89174"/>
                </a:ext>
                <a:ext uri="{FF2B5EF4-FFF2-40B4-BE49-F238E27FC236}">
                  <a16:creationId xmlns:a16="http://schemas.microsoft.com/office/drawing/2014/main" id="{00000000-0008-0000-0100-00005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175" name="Check Box 87" hidden="1">
              <a:extLst>
                <a:ext uri="{63B3BB69-23CF-44E3-9099-C40C66FF867C}">
                  <a14:compatExt spid="_x0000_s89175"/>
                </a:ext>
                <a:ext uri="{FF2B5EF4-FFF2-40B4-BE49-F238E27FC236}">
                  <a16:creationId xmlns:a16="http://schemas.microsoft.com/office/drawing/2014/main" id="{00000000-0008-0000-0100-00005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89177" name="Check Box 89" hidden="1">
              <a:extLst>
                <a:ext uri="{63B3BB69-23CF-44E3-9099-C40C66FF867C}">
                  <a14:compatExt spid="_x0000_s89177"/>
                </a:ext>
                <a:ext uri="{FF2B5EF4-FFF2-40B4-BE49-F238E27FC236}">
                  <a16:creationId xmlns:a16="http://schemas.microsoft.com/office/drawing/2014/main" id="{00000000-0008-0000-0100-00005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9180" name="Group Box 92" hidden="1">
              <a:extLst>
                <a:ext uri="{63B3BB69-23CF-44E3-9099-C40C66FF867C}">
                  <a14:compatExt spid="_x0000_s89180"/>
                </a:ext>
                <a:ext uri="{FF2B5EF4-FFF2-40B4-BE49-F238E27FC236}">
                  <a16:creationId xmlns:a16="http://schemas.microsoft.com/office/drawing/2014/main" id="{00000000-0008-0000-0100-00005C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222250</xdr:rowOff>
        </xdr:to>
        <xdr:sp macro="" textlink="">
          <xdr:nvSpPr>
            <xdr:cNvPr id="89181" name="Option Button 93" hidden="1">
              <a:extLst>
                <a:ext uri="{63B3BB69-23CF-44E3-9099-C40C66FF867C}">
                  <a14:compatExt spid="_x0000_s89181"/>
                </a:ext>
                <a:ext uri="{FF2B5EF4-FFF2-40B4-BE49-F238E27FC236}">
                  <a16:creationId xmlns:a16="http://schemas.microsoft.com/office/drawing/2014/main" id="{00000000-0008-0000-0100-00005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95250</xdr:colOff>
          <xdr:row>71</xdr:row>
          <xdr:rowOff>222250</xdr:rowOff>
        </xdr:to>
        <xdr:sp macro="" textlink="">
          <xdr:nvSpPr>
            <xdr:cNvPr id="89182" name="Option Button 94" hidden="1">
              <a:extLst>
                <a:ext uri="{63B3BB69-23CF-44E3-9099-C40C66FF867C}">
                  <a14:compatExt spid="_x0000_s89182"/>
                </a:ext>
                <a:ext uri="{FF2B5EF4-FFF2-40B4-BE49-F238E27FC236}">
                  <a16:creationId xmlns:a16="http://schemas.microsoft.com/office/drawing/2014/main" id="{00000000-0008-0000-0100-00005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9183" name="Option Button 95" hidden="1">
              <a:extLst>
                <a:ext uri="{63B3BB69-23CF-44E3-9099-C40C66FF867C}">
                  <a14:compatExt spid="_x0000_s89183"/>
                </a:ext>
                <a:ext uri="{FF2B5EF4-FFF2-40B4-BE49-F238E27FC236}">
                  <a16:creationId xmlns:a16="http://schemas.microsoft.com/office/drawing/2014/main" id="{00000000-0008-0000-0100-00005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89184" name="Check Box 96" hidden="1">
              <a:extLst>
                <a:ext uri="{63B3BB69-23CF-44E3-9099-C40C66FF867C}">
                  <a14:compatExt spid="_x0000_s89184"/>
                </a:ext>
                <a:ext uri="{FF2B5EF4-FFF2-40B4-BE49-F238E27FC236}">
                  <a16:creationId xmlns:a16="http://schemas.microsoft.com/office/drawing/2014/main" id="{00000000-0008-0000-0100-00006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5" name="Check Box 97" hidden="1">
              <a:extLst>
                <a:ext uri="{63B3BB69-23CF-44E3-9099-C40C66FF867C}">
                  <a14:compatExt spid="_x0000_s89185"/>
                </a:ext>
                <a:ext uri="{FF2B5EF4-FFF2-40B4-BE49-F238E27FC236}">
                  <a16:creationId xmlns:a16="http://schemas.microsoft.com/office/drawing/2014/main" id="{00000000-0008-0000-0100-00006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78</xdr:row>
          <xdr:rowOff>19050</xdr:rowOff>
        </xdr:to>
        <xdr:sp macro="" textlink="">
          <xdr:nvSpPr>
            <xdr:cNvPr id="89186" name="Group Box 98" hidden="1">
              <a:extLst>
                <a:ext uri="{63B3BB69-23CF-44E3-9099-C40C66FF867C}">
                  <a14:compatExt spid="_x0000_s89186"/>
                </a:ext>
                <a:ext uri="{FF2B5EF4-FFF2-40B4-BE49-F238E27FC236}">
                  <a16:creationId xmlns:a16="http://schemas.microsoft.com/office/drawing/2014/main" id="{00000000-0008-0000-0100-000062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89187" name="Check Box 99" hidden="1">
              <a:extLst>
                <a:ext uri="{63B3BB69-23CF-44E3-9099-C40C66FF867C}">
                  <a14:compatExt spid="_x0000_s89187"/>
                </a:ext>
                <a:ext uri="{FF2B5EF4-FFF2-40B4-BE49-F238E27FC236}">
                  <a16:creationId xmlns:a16="http://schemas.microsoft.com/office/drawing/2014/main" id="{00000000-0008-0000-0100-00006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188" name="Check Box 100" hidden="1">
              <a:extLst>
                <a:ext uri="{63B3BB69-23CF-44E3-9099-C40C66FF867C}">
                  <a14:compatExt spid="_x0000_s89188"/>
                </a:ext>
                <a:ext uri="{FF2B5EF4-FFF2-40B4-BE49-F238E27FC236}">
                  <a16:creationId xmlns:a16="http://schemas.microsoft.com/office/drawing/2014/main" id="{00000000-0008-0000-0100-00006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78</xdr:row>
          <xdr:rowOff>19050</xdr:rowOff>
        </xdr:to>
        <xdr:sp macro="" textlink="">
          <xdr:nvSpPr>
            <xdr:cNvPr id="89189" name="Group Box 101" hidden="1">
              <a:extLst>
                <a:ext uri="{63B3BB69-23CF-44E3-9099-C40C66FF867C}">
                  <a14:compatExt spid="_x0000_s89189"/>
                </a:ext>
                <a:ext uri="{FF2B5EF4-FFF2-40B4-BE49-F238E27FC236}">
                  <a16:creationId xmlns:a16="http://schemas.microsoft.com/office/drawing/2014/main" id="{00000000-0008-0000-0100-000065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xdr:twoCellAnchor>
    <xdr:from>
      <xdr:col>11</xdr:col>
      <xdr:colOff>44824</xdr:colOff>
      <xdr:row>56</xdr:row>
      <xdr:rowOff>58271</xdr:rowOff>
    </xdr:from>
    <xdr:to>
      <xdr:col>45</xdr:col>
      <xdr:colOff>201706</xdr:colOff>
      <xdr:row>59</xdr:row>
      <xdr:rowOff>190501</xdr:rowOff>
    </xdr:to>
    <xdr:sp macro="" textlink="">
      <xdr:nvSpPr>
        <xdr:cNvPr id="60" name="角丸四角形 59">
          <a:extLst>
            <a:ext uri="{FF2B5EF4-FFF2-40B4-BE49-F238E27FC236}">
              <a16:creationId xmlns:a16="http://schemas.microsoft.com/office/drawing/2014/main" id="{00000000-0008-0000-0100-00003C000000}"/>
            </a:ext>
          </a:extLst>
        </xdr:cNvPr>
        <xdr:cNvSpPr/>
      </xdr:nvSpPr>
      <xdr:spPr>
        <a:xfrm>
          <a:off x="2879912" y="11152095"/>
          <a:ext cx="8919882" cy="87181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11</xdr:col>
      <xdr:colOff>44824</xdr:colOff>
      <xdr:row>74</xdr:row>
      <xdr:rowOff>33619</xdr:rowOff>
    </xdr:from>
    <xdr:to>
      <xdr:col>45</xdr:col>
      <xdr:colOff>201706</xdr:colOff>
      <xdr:row>74</xdr:row>
      <xdr:rowOff>201707</xdr:rowOff>
    </xdr:to>
    <xdr:sp macro="" textlink="">
      <xdr:nvSpPr>
        <xdr:cNvPr id="63" name="角丸四角形 62">
          <a:extLst>
            <a:ext uri="{FF2B5EF4-FFF2-40B4-BE49-F238E27FC236}">
              <a16:creationId xmlns:a16="http://schemas.microsoft.com/office/drawing/2014/main" id="{00000000-0008-0000-0100-00003F000000}"/>
            </a:ext>
          </a:extLst>
        </xdr:cNvPr>
        <xdr:cNvSpPr/>
      </xdr:nvSpPr>
      <xdr:spPr>
        <a:xfrm>
          <a:off x="2879912" y="14332325"/>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89192" name="Group Box 104" hidden="1">
              <a:extLst>
                <a:ext uri="{63B3BB69-23CF-44E3-9099-C40C66FF867C}">
                  <a14:compatExt spid="_x0000_s89192"/>
                </a:ext>
                <a:ext uri="{FF2B5EF4-FFF2-40B4-BE49-F238E27FC236}">
                  <a16:creationId xmlns:a16="http://schemas.microsoft.com/office/drawing/2014/main" id="{00000000-0008-0000-0100-000068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31</xdr:col>
          <xdr:colOff>241300</xdr:colOff>
          <xdr:row>65</xdr:row>
          <xdr:rowOff>222250</xdr:rowOff>
        </xdr:to>
        <xdr:sp macro="" textlink="">
          <xdr:nvSpPr>
            <xdr:cNvPr id="89193" name="Option Button 105" hidden="1">
              <a:extLst>
                <a:ext uri="{63B3BB69-23CF-44E3-9099-C40C66FF867C}">
                  <a14:compatExt spid="_x0000_s89193"/>
                </a:ext>
                <a:ext uri="{FF2B5EF4-FFF2-40B4-BE49-F238E27FC236}">
                  <a16:creationId xmlns:a16="http://schemas.microsoft.com/office/drawing/2014/main" id="{00000000-0008-0000-0100-00006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222250</xdr:colOff>
          <xdr:row>65</xdr:row>
          <xdr:rowOff>222250</xdr:rowOff>
        </xdr:to>
        <xdr:sp macro="" textlink="">
          <xdr:nvSpPr>
            <xdr:cNvPr id="89194" name="Option Button 106" hidden="1">
              <a:extLst>
                <a:ext uri="{63B3BB69-23CF-44E3-9099-C40C66FF867C}">
                  <a14:compatExt spid="_x0000_s89194"/>
                </a:ext>
                <a:ext uri="{FF2B5EF4-FFF2-40B4-BE49-F238E27FC236}">
                  <a16:creationId xmlns:a16="http://schemas.microsoft.com/office/drawing/2014/main" id="{00000000-0008-0000-0100-00006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195" name="Group Box 107" hidden="1">
              <a:extLst>
                <a:ext uri="{63B3BB69-23CF-44E3-9099-C40C66FF867C}">
                  <a14:compatExt spid="_x0000_s89195"/>
                </a:ext>
                <a:ext uri="{FF2B5EF4-FFF2-40B4-BE49-F238E27FC236}">
                  <a16:creationId xmlns:a16="http://schemas.microsoft.com/office/drawing/2014/main" id="{00000000-0008-0000-0100-00006B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xdr:oneCellAnchor>
    <xdr:from>
      <xdr:col>25</xdr:col>
      <xdr:colOff>100854</xdr:colOff>
      <xdr:row>178</xdr:row>
      <xdr:rowOff>60973</xdr:rowOff>
    </xdr:from>
    <xdr:ext cx="72768" cy="338811"/>
    <xdr:sp macro="" textlink="" fLocksText="0">
      <xdr:nvSpPr>
        <xdr:cNvPr id="70" name="テキスト ボックス 69">
          <a:extLst>
            <a:ext uri="{FF2B5EF4-FFF2-40B4-BE49-F238E27FC236}">
              <a16:creationId xmlns:a16="http://schemas.microsoft.com/office/drawing/2014/main" id="{00000000-0008-0000-0100-000046000000}"/>
            </a:ext>
          </a:extLst>
        </xdr:cNvPr>
        <xdr:cNvSpPr txBox="1"/>
      </xdr:nvSpPr>
      <xdr:spPr>
        <a:xfrm>
          <a:off x="6544236" y="23481267"/>
          <a:ext cx="72768"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11</xdr:col>
      <xdr:colOff>44824</xdr:colOff>
      <xdr:row>70</xdr:row>
      <xdr:rowOff>33618</xdr:rowOff>
    </xdr:from>
    <xdr:to>
      <xdr:col>45</xdr:col>
      <xdr:colOff>201706</xdr:colOff>
      <xdr:row>70</xdr:row>
      <xdr:rowOff>201706</xdr:rowOff>
    </xdr:to>
    <xdr:sp macro="" textlink="">
      <xdr:nvSpPr>
        <xdr:cNvPr id="73" name="角丸四角形 72">
          <a:extLst>
            <a:ext uri="{FF2B5EF4-FFF2-40B4-BE49-F238E27FC236}">
              <a16:creationId xmlns:a16="http://schemas.microsoft.com/office/drawing/2014/main" id="{00000000-0008-0000-0100-000049000000}"/>
            </a:ext>
          </a:extLst>
        </xdr:cNvPr>
        <xdr:cNvSpPr/>
      </xdr:nvSpPr>
      <xdr:spPr>
        <a:xfrm>
          <a:off x="2879912" y="14085794"/>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31750</xdr:colOff>
          <xdr:row>80</xdr:row>
          <xdr:rowOff>247650</xdr:rowOff>
        </xdr:from>
        <xdr:to>
          <xdr:col>23</xdr:col>
          <xdr:colOff>222250</xdr:colOff>
          <xdr:row>82</xdr:row>
          <xdr:rowOff>0</xdr:rowOff>
        </xdr:to>
        <xdr:sp macro="" textlink="">
          <xdr:nvSpPr>
            <xdr:cNvPr id="89198" name="Group Box 110" hidden="1">
              <a:extLst>
                <a:ext uri="{63B3BB69-23CF-44E3-9099-C40C66FF867C}">
                  <a14:compatExt spid="_x0000_s89198"/>
                </a:ext>
                <a:ext uri="{FF2B5EF4-FFF2-40B4-BE49-F238E27FC236}">
                  <a16:creationId xmlns:a16="http://schemas.microsoft.com/office/drawing/2014/main" id="{00000000-0008-0000-0100-00006E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89199" name="Option Button 111" hidden="1">
              <a:extLst>
                <a:ext uri="{63B3BB69-23CF-44E3-9099-C40C66FF867C}">
                  <a14:compatExt spid="_x0000_s89199"/>
                </a:ext>
                <a:ext uri="{FF2B5EF4-FFF2-40B4-BE49-F238E27FC236}">
                  <a16:creationId xmlns:a16="http://schemas.microsoft.com/office/drawing/2014/main" id="{00000000-0008-0000-0100-00006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89200" name="Option Button 112" hidden="1">
              <a:extLst>
                <a:ext uri="{63B3BB69-23CF-44E3-9099-C40C66FF867C}">
                  <a14:compatExt spid="_x0000_s89200"/>
                </a:ext>
                <a:ext uri="{FF2B5EF4-FFF2-40B4-BE49-F238E27FC236}">
                  <a16:creationId xmlns:a16="http://schemas.microsoft.com/office/drawing/2014/main" id="{00000000-0008-0000-0100-00007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01" name="Group Box 113" hidden="1">
              <a:extLst>
                <a:ext uri="{63B3BB69-23CF-44E3-9099-C40C66FF867C}">
                  <a14:compatExt spid="_x0000_s89201"/>
                </a:ext>
                <a:ext uri="{FF2B5EF4-FFF2-40B4-BE49-F238E27FC236}">
                  <a16:creationId xmlns:a16="http://schemas.microsoft.com/office/drawing/2014/main" id="{00000000-0008-0000-0100-000071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27</xdr:col>
          <xdr:colOff>241300</xdr:colOff>
          <xdr:row>153</xdr:row>
          <xdr:rowOff>241300</xdr:rowOff>
        </xdr:to>
        <xdr:sp macro="" textlink="">
          <xdr:nvSpPr>
            <xdr:cNvPr id="89204" name="Group Box 116" hidden="1">
              <a:extLst>
                <a:ext uri="{63B3BB69-23CF-44E3-9099-C40C66FF867C}">
                  <a14:compatExt spid="_x0000_s89204"/>
                </a:ext>
                <a:ext uri="{FF2B5EF4-FFF2-40B4-BE49-F238E27FC236}">
                  <a16:creationId xmlns:a16="http://schemas.microsoft.com/office/drawing/2014/main" id="{00000000-0008-0000-0100-000074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165100</xdr:colOff>
          <xdr:row>153</xdr:row>
          <xdr:rowOff>241300</xdr:rowOff>
        </xdr:to>
        <xdr:sp macro="" textlink="">
          <xdr:nvSpPr>
            <xdr:cNvPr id="89205" name="Option Button 117" hidden="1">
              <a:extLst>
                <a:ext uri="{63B3BB69-23CF-44E3-9099-C40C66FF867C}">
                  <a14:compatExt spid="_x0000_s89205"/>
                </a:ext>
                <a:ext uri="{FF2B5EF4-FFF2-40B4-BE49-F238E27FC236}">
                  <a16:creationId xmlns:a16="http://schemas.microsoft.com/office/drawing/2014/main" id="{00000000-0008-0000-0100-00007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89206" name="Option Button 118" hidden="1">
              <a:extLst>
                <a:ext uri="{63B3BB69-23CF-44E3-9099-C40C66FF867C}">
                  <a14:compatExt spid="_x0000_s89206"/>
                </a:ext>
                <a:ext uri="{FF2B5EF4-FFF2-40B4-BE49-F238E27FC236}">
                  <a16:creationId xmlns:a16="http://schemas.microsoft.com/office/drawing/2014/main" id="{00000000-0008-0000-0100-00007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27</xdr:col>
          <xdr:colOff>241300</xdr:colOff>
          <xdr:row>156</xdr:row>
          <xdr:rowOff>0</xdr:rowOff>
        </xdr:to>
        <xdr:sp macro="" textlink="">
          <xdr:nvSpPr>
            <xdr:cNvPr id="89207" name="Group Box 119" hidden="1">
              <a:extLst>
                <a:ext uri="{63B3BB69-23CF-44E3-9099-C40C66FF867C}">
                  <a14:compatExt spid="_x0000_s89207"/>
                </a:ext>
                <a:ext uri="{FF2B5EF4-FFF2-40B4-BE49-F238E27FC236}">
                  <a16:creationId xmlns:a16="http://schemas.microsoft.com/office/drawing/2014/main" id="{00000000-0008-0000-0100-000077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165100</xdr:colOff>
          <xdr:row>156</xdr:row>
          <xdr:rowOff>0</xdr:rowOff>
        </xdr:to>
        <xdr:sp macro="" textlink="">
          <xdr:nvSpPr>
            <xdr:cNvPr id="89208" name="Option Button 120" hidden="1">
              <a:extLst>
                <a:ext uri="{63B3BB69-23CF-44E3-9099-C40C66FF867C}">
                  <a14:compatExt spid="_x0000_s89208"/>
                </a:ext>
                <a:ext uri="{FF2B5EF4-FFF2-40B4-BE49-F238E27FC236}">
                  <a16:creationId xmlns:a16="http://schemas.microsoft.com/office/drawing/2014/main" id="{00000000-0008-0000-0100-00007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89209" name="Option Button 121" hidden="1">
              <a:extLst>
                <a:ext uri="{63B3BB69-23CF-44E3-9099-C40C66FF867C}">
                  <a14:compatExt spid="_x0000_s89209"/>
                </a:ext>
                <a:ext uri="{FF2B5EF4-FFF2-40B4-BE49-F238E27FC236}">
                  <a16:creationId xmlns:a16="http://schemas.microsoft.com/office/drawing/2014/main" id="{00000000-0008-0000-0100-00007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45</xdr:col>
          <xdr:colOff>241300</xdr:colOff>
          <xdr:row>156</xdr:row>
          <xdr:rowOff>0</xdr:rowOff>
        </xdr:to>
        <xdr:sp macro="" textlink="">
          <xdr:nvSpPr>
            <xdr:cNvPr id="89210" name="Group Box 122" hidden="1">
              <a:extLst>
                <a:ext uri="{63B3BB69-23CF-44E3-9099-C40C66FF867C}">
                  <a14:compatExt spid="_x0000_s89210"/>
                </a:ext>
                <a:ext uri="{FF2B5EF4-FFF2-40B4-BE49-F238E27FC236}">
                  <a16:creationId xmlns:a16="http://schemas.microsoft.com/office/drawing/2014/main" id="{00000000-0008-0000-0100-00007A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165100</xdr:colOff>
          <xdr:row>156</xdr:row>
          <xdr:rowOff>0</xdr:rowOff>
        </xdr:to>
        <xdr:sp macro="" textlink="">
          <xdr:nvSpPr>
            <xdr:cNvPr id="89211" name="Option Button 123" hidden="1">
              <a:extLst>
                <a:ext uri="{63B3BB69-23CF-44E3-9099-C40C66FF867C}">
                  <a14:compatExt spid="_x0000_s89211"/>
                </a:ext>
                <a:ext uri="{FF2B5EF4-FFF2-40B4-BE49-F238E27FC236}">
                  <a16:creationId xmlns:a16="http://schemas.microsoft.com/office/drawing/2014/main" id="{00000000-0008-0000-0100-00007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89212" name="Option Button 124" hidden="1">
              <a:extLst>
                <a:ext uri="{63B3BB69-23CF-44E3-9099-C40C66FF867C}">
                  <a14:compatExt spid="_x0000_s89212"/>
                </a:ext>
                <a:ext uri="{FF2B5EF4-FFF2-40B4-BE49-F238E27FC236}">
                  <a16:creationId xmlns:a16="http://schemas.microsoft.com/office/drawing/2014/main" id="{00000000-0008-0000-0100-00007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27</xdr:col>
          <xdr:colOff>247650</xdr:colOff>
          <xdr:row>157</xdr:row>
          <xdr:rowOff>0</xdr:rowOff>
        </xdr:to>
        <xdr:sp macro="" textlink="">
          <xdr:nvSpPr>
            <xdr:cNvPr id="89213" name="Group Box 125" hidden="1">
              <a:extLst>
                <a:ext uri="{63B3BB69-23CF-44E3-9099-C40C66FF867C}">
                  <a14:compatExt spid="_x0000_s89213"/>
                </a:ext>
                <a:ext uri="{FF2B5EF4-FFF2-40B4-BE49-F238E27FC236}">
                  <a16:creationId xmlns:a16="http://schemas.microsoft.com/office/drawing/2014/main" id="{00000000-0008-0000-0100-00007D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165100</xdr:colOff>
          <xdr:row>157</xdr:row>
          <xdr:rowOff>0</xdr:rowOff>
        </xdr:to>
        <xdr:sp macro="" textlink="">
          <xdr:nvSpPr>
            <xdr:cNvPr id="89214" name="Option Button 126" hidden="1">
              <a:extLst>
                <a:ext uri="{63B3BB69-23CF-44E3-9099-C40C66FF867C}">
                  <a14:compatExt spid="_x0000_s89214"/>
                </a:ext>
                <a:ext uri="{FF2B5EF4-FFF2-40B4-BE49-F238E27FC236}">
                  <a16:creationId xmlns:a16="http://schemas.microsoft.com/office/drawing/2014/main" id="{00000000-0008-0000-0100-00007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89215" name="Option Button 127" hidden="1">
              <a:extLst>
                <a:ext uri="{63B3BB69-23CF-44E3-9099-C40C66FF867C}">
                  <a14:compatExt spid="_x0000_s89215"/>
                </a:ext>
                <a:ext uri="{FF2B5EF4-FFF2-40B4-BE49-F238E27FC236}">
                  <a16:creationId xmlns:a16="http://schemas.microsoft.com/office/drawing/2014/main" id="{00000000-0008-0000-0100-00007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27</xdr:col>
          <xdr:colOff>247650</xdr:colOff>
          <xdr:row>158</xdr:row>
          <xdr:rowOff>241300</xdr:rowOff>
        </xdr:to>
        <xdr:sp macro="" textlink="">
          <xdr:nvSpPr>
            <xdr:cNvPr id="89216" name="Group Box 128" hidden="1">
              <a:extLst>
                <a:ext uri="{63B3BB69-23CF-44E3-9099-C40C66FF867C}">
                  <a14:compatExt spid="_x0000_s89216"/>
                </a:ext>
                <a:ext uri="{FF2B5EF4-FFF2-40B4-BE49-F238E27FC236}">
                  <a16:creationId xmlns:a16="http://schemas.microsoft.com/office/drawing/2014/main" id="{00000000-0008-0000-0100-000080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159</xdr:row>
          <xdr:rowOff>0</xdr:rowOff>
        </xdr:from>
        <xdr:to>
          <xdr:col>27</xdr:col>
          <xdr:colOff>241300</xdr:colOff>
          <xdr:row>161</xdr:row>
          <xdr:rowOff>241300</xdr:rowOff>
        </xdr:to>
        <xdr:sp macro="" textlink="">
          <xdr:nvSpPr>
            <xdr:cNvPr id="89219" name="Group Box 131" hidden="1">
              <a:extLst>
                <a:ext uri="{63B3BB69-23CF-44E3-9099-C40C66FF867C}">
                  <a14:compatExt spid="_x0000_s89219"/>
                </a:ext>
                <a:ext uri="{FF2B5EF4-FFF2-40B4-BE49-F238E27FC236}">
                  <a16:creationId xmlns:a16="http://schemas.microsoft.com/office/drawing/2014/main" id="{00000000-0008-0000-0100-000083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160</xdr:row>
          <xdr:rowOff>0</xdr:rowOff>
        </xdr:from>
        <xdr:to>
          <xdr:col>29</xdr:col>
          <xdr:colOff>241300</xdr:colOff>
          <xdr:row>161</xdr:row>
          <xdr:rowOff>241300</xdr:rowOff>
        </xdr:to>
        <xdr:sp macro="" textlink="">
          <xdr:nvSpPr>
            <xdr:cNvPr id="89222" name="Group Box 134" hidden="1">
              <a:extLst>
                <a:ext uri="{63B3BB69-23CF-44E3-9099-C40C66FF867C}">
                  <a14:compatExt spid="_x0000_s89222"/>
                </a:ext>
                <a:ext uri="{FF2B5EF4-FFF2-40B4-BE49-F238E27FC236}">
                  <a16:creationId xmlns:a16="http://schemas.microsoft.com/office/drawing/2014/main" id="{00000000-0008-0000-0100-000086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160</xdr:row>
          <xdr:rowOff>0</xdr:rowOff>
        </xdr:from>
        <xdr:to>
          <xdr:col>45</xdr:col>
          <xdr:colOff>241300</xdr:colOff>
          <xdr:row>161</xdr:row>
          <xdr:rowOff>241300</xdr:rowOff>
        </xdr:to>
        <xdr:sp macro="" textlink="">
          <xdr:nvSpPr>
            <xdr:cNvPr id="89225" name="Group Box 137" hidden="1">
              <a:extLst>
                <a:ext uri="{63B3BB69-23CF-44E3-9099-C40C66FF867C}">
                  <a14:compatExt spid="_x0000_s89225"/>
                </a:ext>
                <a:ext uri="{FF2B5EF4-FFF2-40B4-BE49-F238E27FC236}">
                  <a16:creationId xmlns:a16="http://schemas.microsoft.com/office/drawing/2014/main" id="{00000000-0008-0000-0100-000089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89228" name="Group Box 140" hidden="1">
              <a:extLst>
                <a:ext uri="{63B3BB69-23CF-44E3-9099-C40C66FF867C}">
                  <a14:compatExt spid="_x0000_s89228"/>
                </a:ext>
                <a:ext uri="{FF2B5EF4-FFF2-40B4-BE49-F238E27FC236}">
                  <a16:creationId xmlns:a16="http://schemas.microsoft.com/office/drawing/2014/main" id="{00000000-0008-0000-0100-00008C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89229" name="Option Button 141" hidden="1">
              <a:extLst>
                <a:ext uri="{63B3BB69-23CF-44E3-9099-C40C66FF867C}">
                  <a14:compatExt spid="_x0000_s89229"/>
                </a:ext>
                <a:ext uri="{FF2B5EF4-FFF2-40B4-BE49-F238E27FC236}">
                  <a16:creationId xmlns:a16="http://schemas.microsoft.com/office/drawing/2014/main" id="{00000000-0008-0000-0100-00008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165100</xdr:colOff>
          <xdr:row>157</xdr:row>
          <xdr:rowOff>241300</xdr:rowOff>
        </xdr:to>
        <xdr:sp macro="" textlink="">
          <xdr:nvSpPr>
            <xdr:cNvPr id="89230" name="Option Button 142" hidden="1">
              <a:extLst>
                <a:ext uri="{63B3BB69-23CF-44E3-9099-C40C66FF867C}">
                  <a14:compatExt spid="_x0000_s89230"/>
                </a:ext>
                <a:ext uri="{FF2B5EF4-FFF2-40B4-BE49-F238E27FC236}">
                  <a16:creationId xmlns:a16="http://schemas.microsoft.com/office/drawing/2014/main" id="{00000000-0008-0000-0100-00008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165100</xdr:colOff>
          <xdr:row>157</xdr:row>
          <xdr:rowOff>241300</xdr:rowOff>
        </xdr:to>
        <xdr:sp macro="" textlink="">
          <xdr:nvSpPr>
            <xdr:cNvPr id="89231" name="Option Button 143" hidden="1">
              <a:extLst>
                <a:ext uri="{63B3BB69-23CF-44E3-9099-C40C66FF867C}">
                  <a14:compatExt spid="_x0000_s89231"/>
                </a:ext>
                <a:ext uri="{FF2B5EF4-FFF2-40B4-BE49-F238E27FC236}">
                  <a16:creationId xmlns:a16="http://schemas.microsoft.com/office/drawing/2014/main" id="{00000000-0008-0000-0100-00008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xdr:row>
          <xdr:rowOff>19050</xdr:rowOff>
        </xdr:from>
        <xdr:to>
          <xdr:col>23</xdr:col>
          <xdr:colOff>222250</xdr:colOff>
          <xdr:row>83</xdr:row>
          <xdr:rowOff>222250</xdr:rowOff>
        </xdr:to>
        <xdr:sp macro="" textlink="">
          <xdr:nvSpPr>
            <xdr:cNvPr id="89232" name="Group Box 144" hidden="1">
              <a:extLst>
                <a:ext uri="{63B3BB69-23CF-44E3-9099-C40C66FF867C}">
                  <a14:compatExt spid="_x0000_s89232"/>
                </a:ext>
                <a:ext uri="{FF2B5EF4-FFF2-40B4-BE49-F238E27FC236}">
                  <a16:creationId xmlns:a16="http://schemas.microsoft.com/office/drawing/2014/main" id="{00000000-0008-0000-0100-000090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83</xdr:row>
          <xdr:rowOff>107950</xdr:rowOff>
        </xdr:from>
        <xdr:to>
          <xdr:col>140</xdr:col>
          <xdr:colOff>95250</xdr:colOff>
          <xdr:row>111</xdr:row>
          <xdr:rowOff>184150</xdr:rowOff>
        </xdr:to>
        <xdr:sp macro="" textlink="">
          <xdr:nvSpPr>
            <xdr:cNvPr id="89242" name="Group Box 154" hidden="1">
              <a:extLst>
                <a:ext uri="{63B3BB69-23CF-44E3-9099-C40C66FF867C}">
                  <a14:compatExt spid="_x0000_s89242"/>
                </a:ext>
                <a:ext uri="{FF2B5EF4-FFF2-40B4-BE49-F238E27FC236}">
                  <a16:creationId xmlns:a16="http://schemas.microsoft.com/office/drawing/2014/main" id="{00000000-0008-0000-0100-00009A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149</xdr:row>
          <xdr:rowOff>12700</xdr:rowOff>
        </xdr:from>
        <xdr:to>
          <xdr:col>25</xdr:col>
          <xdr:colOff>260350</xdr:colOff>
          <xdr:row>150</xdr:row>
          <xdr:rowOff>0</xdr:rowOff>
        </xdr:to>
        <xdr:sp macro="" textlink="">
          <xdr:nvSpPr>
            <xdr:cNvPr id="89243" name="Option Button 155" hidden="1">
              <a:extLst>
                <a:ext uri="{63B3BB69-23CF-44E3-9099-C40C66FF867C}">
                  <a14:compatExt spid="_x0000_s89243"/>
                </a:ext>
                <a:ext uri="{FF2B5EF4-FFF2-40B4-BE49-F238E27FC236}">
                  <a16:creationId xmlns:a16="http://schemas.microsoft.com/office/drawing/2014/main" id="{00000000-0008-0000-0100-00009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165100</xdr:colOff>
          <xdr:row>149</xdr:row>
          <xdr:rowOff>12700</xdr:rowOff>
        </xdr:from>
        <xdr:to>
          <xdr:col>14</xdr:col>
          <xdr:colOff>0</xdr:colOff>
          <xdr:row>150</xdr:row>
          <xdr:rowOff>0</xdr:rowOff>
        </xdr:to>
        <xdr:sp macro="" textlink="">
          <xdr:nvSpPr>
            <xdr:cNvPr id="89244" name="Option Button 156" hidden="1">
              <a:extLst>
                <a:ext uri="{63B3BB69-23CF-44E3-9099-C40C66FF867C}">
                  <a14:compatExt spid="_x0000_s89244"/>
                </a:ext>
                <a:ext uri="{FF2B5EF4-FFF2-40B4-BE49-F238E27FC236}">
                  <a16:creationId xmlns:a16="http://schemas.microsoft.com/office/drawing/2014/main" id="{00000000-0008-0000-0100-00009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149</xdr:row>
          <xdr:rowOff>12700</xdr:rowOff>
        </xdr:from>
        <xdr:to>
          <xdr:col>38</xdr:col>
          <xdr:colOff>0</xdr:colOff>
          <xdr:row>150</xdr:row>
          <xdr:rowOff>0</xdr:rowOff>
        </xdr:to>
        <xdr:sp macro="" textlink="">
          <xdr:nvSpPr>
            <xdr:cNvPr id="89245" name="Option Button 157" hidden="1">
              <a:extLst>
                <a:ext uri="{63B3BB69-23CF-44E3-9099-C40C66FF867C}">
                  <a14:compatExt spid="_x0000_s89245"/>
                </a:ext>
                <a:ext uri="{FF2B5EF4-FFF2-40B4-BE49-F238E27FC236}">
                  <a16:creationId xmlns:a16="http://schemas.microsoft.com/office/drawing/2014/main" id="{00000000-0008-0000-0100-00009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9246" name="Check Box 158" hidden="1">
              <a:extLst>
                <a:ext uri="{63B3BB69-23CF-44E3-9099-C40C66FF867C}">
                  <a14:compatExt spid="_x0000_s89246"/>
                </a:ext>
                <a:ext uri="{FF2B5EF4-FFF2-40B4-BE49-F238E27FC236}">
                  <a16:creationId xmlns:a16="http://schemas.microsoft.com/office/drawing/2014/main" id="{00000000-0008-0000-0100-00009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89247" name="Check Box 159" hidden="1">
              <a:extLst>
                <a:ext uri="{63B3BB69-23CF-44E3-9099-C40C66FF867C}">
                  <a14:compatExt spid="_x0000_s89247"/>
                </a:ext>
                <a:ext uri="{FF2B5EF4-FFF2-40B4-BE49-F238E27FC236}">
                  <a16:creationId xmlns:a16="http://schemas.microsoft.com/office/drawing/2014/main" id="{00000000-0008-0000-0100-00009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89248" name="Group Box 160" hidden="1">
              <a:extLst>
                <a:ext uri="{63B3BB69-23CF-44E3-9099-C40C66FF867C}">
                  <a14:compatExt spid="_x0000_s89248"/>
                </a:ext>
                <a:ext uri="{FF2B5EF4-FFF2-40B4-BE49-F238E27FC236}">
                  <a16:creationId xmlns:a16="http://schemas.microsoft.com/office/drawing/2014/main" id="{00000000-0008-0000-0100-0000A0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17</xdr:col>
          <xdr:colOff>241300</xdr:colOff>
          <xdr:row>61</xdr:row>
          <xdr:rowOff>209550</xdr:rowOff>
        </xdr:to>
        <xdr:sp macro="" textlink="">
          <xdr:nvSpPr>
            <xdr:cNvPr id="89249" name="Option Button 161" hidden="1">
              <a:extLst>
                <a:ext uri="{63B3BB69-23CF-44E3-9099-C40C66FF867C}">
                  <a14:compatExt spid="_x0000_s89249"/>
                </a:ext>
                <a:ext uri="{FF2B5EF4-FFF2-40B4-BE49-F238E27FC236}">
                  <a16:creationId xmlns:a16="http://schemas.microsoft.com/office/drawing/2014/main" id="{00000000-0008-0000-0100-0000A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89250" name="Option Button 162" hidden="1">
              <a:extLst>
                <a:ext uri="{63B3BB69-23CF-44E3-9099-C40C66FF867C}">
                  <a14:compatExt spid="_x0000_s89250"/>
                </a:ext>
                <a:ext uri="{FF2B5EF4-FFF2-40B4-BE49-F238E27FC236}">
                  <a16:creationId xmlns:a16="http://schemas.microsoft.com/office/drawing/2014/main" id="{00000000-0008-0000-0100-0000A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0</xdr:rowOff>
        </xdr:from>
        <xdr:to>
          <xdr:col>25</xdr:col>
          <xdr:colOff>247650</xdr:colOff>
          <xdr:row>60</xdr:row>
          <xdr:rowOff>241300</xdr:rowOff>
        </xdr:to>
        <xdr:sp macro="" textlink="">
          <xdr:nvSpPr>
            <xdr:cNvPr id="89253" name="Group Box 165" hidden="1">
              <a:extLst>
                <a:ext uri="{63B3BB69-23CF-44E3-9099-C40C66FF867C}">
                  <a14:compatExt spid="_x0000_s89253"/>
                </a:ext>
                <a:ext uri="{FF2B5EF4-FFF2-40B4-BE49-F238E27FC236}">
                  <a16:creationId xmlns:a16="http://schemas.microsoft.com/office/drawing/2014/main" id="{00000000-0008-0000-0100-0000A5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11</xdr:col>
      <xdr:colOff>44824</xdr:colOff>
      <xdr:row>64</xdr:row>
      <xdr:rowOff>33618</xdr:rowOff>
    </xdr:from>
    <xdr:to>
      <xdr:col>45</xdr:col>
      <xdr:colOff>201706</xdr:colOff>
      <xdr:row>64</xdr:row>
      <xdr:rowOff>201706</xdr:rowOff>
    </xdr:to>
    <xdr:sp macro="" textlink="">
      <xdr:nvSpPr>
        <xdr:cNvPr id="113" name="角丸四角形 112">
          <a:extLst>
            <a:ext uri="{FF2B5EF4-FFF2-40B4-BE49-F238E27FC236}">
              <a16:creationId xmlns:a16="http://schemas.microsoft.com/office/drawing/2014/main" id="{00000000-0008-0000-0100-000071000000}"/>
            </a:ext>
          </a:extLst>
        </xdr:cNvPr>
        <xdr:cNvSpPr/>
      </xdr:nvSpPr>
      <xdr:spPr>
        <a:xfrm>
          <a:off x="2879912" y="13099677"/>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62</xdr:row>
      <xdr:rowOff>33618</xdr:rowOff>
    </xdr:from>
    <xdr:to>
      <xdr:col>45</xdr:col>
      <xdr:colOff>201706</xdr:colOff>
      <xdr:row>62</xdr:row>
      <xdr:rowOff>201706</xdr:rowOff>
    </xdr:to>
    <xdr:sp macro="" textlink="">
      <xdr:nvSpPr>
        <xdr:cNvPr id="114" name="角丸四角形 113">
          <a:extLst>
            <a:ext uri="{FF2B5EF4-FFF2-40B4-BE49-F238E27FC236}">
              <a16:creationId xmlns:a16="http://schemas.microsoft.com/office/drawing/2014/main" id="{00000000-0008-0000-0100-000072000000}"/>
            </a:ext>
          </a:extLst>
        </xdr:cNvPr>
        <xdr:cNvSpPr/>
      </xdr:nvSpPr>
      <xdr:spPr>
        <a:xfrm>
          <a:off x="2879912" y="12606618"/>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14</xdr:col>
      <xdr:colOff>100853</xdr:colOff>
      <xdr:row>16</xdr:row>
      <xdr:rowOff>224116</xdr:rowOff>
    </xdr:from>
    <xdr:to>
      <xdr:col>26</xdr:col>
      <xdr:colOff>116537</xdr:colOff>
      <xdr:row>20</xdr:row>
      <xdr:rowOff>67235</xdr:rowOff>
    </xdr:to>
    <xdr:sp macro="" textlink="">
      <xdr:nvSpPr>
        <xdr:cNvPr id="111" name="角丸四角形吹き出し 110">
          <a:extLst>
            <a:ext uri="{FF2B5EF4-FFF2-40B4-BE49-F238E27FC236}">
              <a16:creationId xmlns:a16="http://schemas.microsoft.com/office/drawing/2014/main" id="{00000000-0008-0000-0100-00006F000000}"/>
            </a:ext>
          </a:extLst>
        </xdr:cNvPr>
        <xdr:cNvSpPr/>
      </xdr:nvSpPr>
      <xdr:spPr>
        <a:xfrm>
          <a:off x="3709147" y="4168587"/>
          <a:ext cx="3108508" cy="582707"/>
        </a:xfrm>
        <a:prstGeom prst="wedgeRoundRectCallout">
          <a:avLst>
            <a:gd name="adj1" fmla="val -65180"/>
            <a:gd name="adj2" fmla="val -30345"/>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をお申込の場合は、別シートの</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a:t>
          </a:r>
          <a:r>
            <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業態シートから業種をご選択ください。</a:t>
          </a:r>
          <a:endParaRPr lang="en-US" altLang="ja-JP" sz="10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82</xdr:row>
          <xdr:rowOff>228600</xdr:rowOff>
        </xdr:from>
        <xdr:to>
          <xdr:col>38</xdr:col>
          <xdr:colOff>241300</xdr:colOff>
          <xdr:row>84</xdr:row>
          <xdr:rowOff>38100</xdr:rowOff>
        </xdr:to>
        <xdr:sp macro="" textlink="">
          <xdr:nvSpPr>
            <xdr:cNvPr id="89255" name="Group Box 167" hidden="1">
              <a:extLst>
                <a:ext uri="{63B3BB69-23CF-44E3-9099-C40C66FF867C}">
                  <a14:compatExt spid="_x0000_s89255"/>
                </a:ext>
                <a:ext uri="{FF2B5EF4-FFF2-40B4-BE49-F238E27FC236}">
                  <a16:creationId xmlns:a16="http://schemas.microsoft.com/office/drawing/2014/main" id="{00000000-0008-0000-0100-0000A7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247650</xdr:rowOff>
        </xdr:from>
        <xdr:to>
          <xdr:col>18</xdr:col>
          <xdr:colOff>107950</xdr:colOff>
          <xdr:row>83</xdr:row>
          <xdr:rowOff>241300</xdr:rowOff>
        </xdr:to>
        <xdr:sp macro="" textlink="">
          <xdr:nvSpPr>
            <xdr:cNvPr id="89256" name="Option Button 168" hidden="1">
              <a:extLst>
                <a:ext uri="{63B3BB69-23CF-44E3-9099-C40C66FF867C}">
                  <a14:compatExt spid="_x0000_s89256"/>
                </a:ext>
                <a:ext uri="{FF2B5EF4-FFF2-40B4-BE49-F238E27FC236}">
                  <a16:creationId xmlns:a16="http://schemas.microsoft.com/office/drawing/2014/main" id="{00000000-0008-0000-0100-0000A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247650</xdr:rowOff>
        </xdr:from>
        <xdr:to>
          <xdr:col>23</xdr:col>
          <xdr:colOff>114300</xdr:colOff>
          <xdr:row>83</xdr:row>
          <xdr:rowOff>241300</xdr:rowOff>
        </xdr:to>
        <xdr:sp macro="" textlink="">
          <xdr:nvSpPr>
            <xdr:cNvPr id="89257" name="Option Button 169" hidden="1">
              <a:extLst>
                <a:ext uri="{63B3BB69-23CF-44E3-9099-C40C66FF867C}">
                  <a14:compatExt spid="_x0000_s89257"/>
                </a:ext>
                <a:ext uri="{FF2B5EF4-FFF2-40B4-BE49-F238E27FC236}">
                  <a16:creationId xmlns:a16="http://schemas.microsoft.com/office/drawing/2014/main" id="{00000000-0008-0000-0100-0000A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247650</xdr:rowOff>
        </xdr:from>
        <xdr:to>
          <xdr:col>33</xdr:col>
          <xdr:colOff>114300</xdr:colOff>
          <xdr:row>83</xdr:row>
          <xdr:rowOff>241300</xdr:rowOff>
        </xdr:to>
        <xdr:sp macro="" textlink="">
          <xdr:nvSpPr>
            <xdr:cNvPr id="89258" name="Option Button 170" hidden="1">
              <a:extLst>
                <a:ext uri="{63B3BB69-23CF-44E3-9099-C40C66FF867C}">
                  <a14:compatExt spid="_x0000_s89258"/>
                </a:ext>
                <a:ext uri="{FF2B5EF4-FFF2-40B4-BE49-F238E27FC236}">
                  <a16:creationId xmlns:a16="http://schemas.microsoft.com/office/drawing/2014/main" id="{00000000-0008-0000-0100-0000A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89259" name="Group Box 171" hidden="1">
              <a:extLst>
                <a:ext uri="{63B3BB69-23CF-44E3-9099-C40C66FF867C}">
                  <a14:compatExt spid="_x0000_s89259"/>
                </a:ext>
                <a:ext uri="{FF2B5EF4-FFF2-40B4-BE49-F238E27FC236}">
                  <a16:creationId xmlns:a16="http://schemas.microsoft.com/office/drawing/2014/main" id="{00000000-0008-0000-0100-0000AB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85</xdr:row>
          <xdr:rowOff>247650</xdr:rowOff>
        </xdr:from>
        <xdr:to>
          <xdr:col>18</xdr:col>
          <xdr:colOff>107950</xdr:colOff>
          <xdr:row>86</xdr:row>
          <xdr:rowOff>241300</xdr:rowOff>
        </xdr:to>
        <xdr:sp macro="" textlink="">
          <xdr:nvSpPr>
            <xdr:cNvPr id="89260" name="Option Button 172" hidden="1">
              <a:extLst>
                <a:ext uri="{63B3BB69-23CF-44E3-9099-C40C66FF867C}">
                  <a14:compatExt spid="_x0000_s89260"/>
                </a:ext>
                <a:ext uri="{FF2B5EF4-FFF2-40B4-BE49-F238E27FC236}">
                  <a16:creationId xmlns:a16="http://schemas.microsoft.com/office/drawing/2014/main" id="{00000000-0008-0000-0100-0000A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85</xdr:row>
          <xdr:rowOff>247650</xdr:rowOff>
        </xdr:from>
        <xdr:to>
          <xdr:col>23</xdr:col>
          <xdr:colOff>114300</xdr:colOff>
          <xdr:row>86</xdr:row>
          <xdr:rowOff>241300</xdr:rowOff>
        </xdr:to>
        <xdr:sp macro="" textlink="">
          <xdr:nvSpPr>
            <xdr:cNvPr id="89261" name="Option Button 173" hidden="1">
              <a:extLst>
                <a:ext uri="{63B3BB69-23CF-44E3-9099-C40C66FF867C}">
                  <a14:compatExt spid="_x0000_s89261"/>
                </a:ext>
                <a:ext uri="{FF2B5EF4-FFF2-40B4-BE49-F238E27FC236}">
                  <a16:creationId xmlns:a16="http://schemas.microsoft.com/office/drawing/2014/main" id="{00000000-0008-0000-0100-0000A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56030</xdr:colOff>
      <xdr:row>111</xdr:row>
      <xdr:rowOff>44824</xdr:rowOff>
    </xdr:from>
    <xdr:to>
      <xdr:col>27</xdr:col>
      <xdr:colOff>201706</xdr:colOff>
      <xdr:row>120</xdr:row>
      <xdr:rowOff>201706</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5468471" y="17055353"/>
          <a:ext cx="1692088" cy="212911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21</xdr:col>
      <xdr:colOff>44824</xdr:colOff>
      <xdr:row>125</xdr:row>
      <xdr:rowOff>56029</xdr:rowOff>
    </xdr:from>
    <xdr:to>
      <xdr:col>25</xdr:col>
      <xdr:colOff>201706</xdr:colOff>
      <xdr:row>146</xdr:row>
      <xdr:rowOff>190499</xdr:rowOff>
    </xdr:to>
    <xdr:sp macro="" textlink="">
      <xdr:nvSpPr>
        <xdr:cNvPr id="121" name="角丸四角形 120">
          <a:extLst>
            <a:ext uri="{FF2B5EF4-FFF2-40B4-BE49-F238E27FC236}">
              <a16:creationId xmlns:a16="http://schemas.microsoft.com/office/drawing/2014/main" id="{00000000-0008-0000-0100-000079000000}"/>
            </a:ext>
          </a:extLst>
        </xdr:cNvPr>
        <xdr:cNvSpPr/>
      </xdr:nvSpPr>
      <xdr:spPr>
        <a:xfrm>
          <a:off x="5457265" y="20271441"/>
          <a:ext cx="1187823" cy="1860176"/>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10</xdr:col>
      <xdr:colOff>67235</xdr:colOff>
      <xdr:row>162</xdr:row>
      <xdr:rowOff>56030</xdr:rowOff>
    </xdr:from>
    <xdr:to>
      <xdr:col>45</xdr:col>
      <xdr:colOff>201706</xdr:colOff>
      <xdr:row>166</xdr:row>
      <xdr:rowOff>190500</xdr:rowOff>
    </xdr:to>
    <xdr:sp macro="" textlink="">
      <xdr:nvSpPr>
        <xdr:cNvPr id="122" name="角丸四角形 121">
          <a:extLst>
            <a:ext uri="{FF2B5EF4-FFF2-40B4-BE49-F238E27FC236}">
              <a16:creationId xmlns:a16="http://schemas.microsoft.com/office/drawing/2014/main" id="{00000000-0008-0000-0100-00007A000000}"/>
            </a:ext>
          </a:extLst>
        </xdr:cNvPr>
        <xdr:cNvSpPr/>
      </xdr:nvSpPr>
      <xdr:spPr>
        <a:xfrm>
          <a:off x="2644588" y="25448559"/>
          <a:ext cx="9155206" cy="11205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editAs="oneCell">
    <xdr:from>
      <xdr:col>17</xdr:col>
      <xdr:colOff>0</xdr:colOff>
      <xdr:row>197</xdr:row>
      <xdr:rowOff>108895</xdr:rowOff>
    </xdr:from>
    <xdr:to>
      <xdr:col>31</xdr:col>
      <xdr:colOff>165516</xdr:colOff>
      <xdr:row>199</xdr:row>
      <xdr:rowOff>89645</xdr:rowOff>
    </xdr:to>
    <xdr:pic>
      <xdr:nvPicPr>
        <xdr:cNvPr id="109" name="図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
        <a:stretch>
          <a:fillRect/>
        </a:stretch>
      </xdr:blipFill>
      <xdr:spPr>
        <a:xfrm>
          <a:off x="4371975" y="32798695"/>
          <a:ext cx="3765966" cy="476051"/>
        </a:xfrm>
        <a:prstGeom prst="rect">
          <a:avLst/>
        </a:prstGeom>
      </xdr:spPr>
    </xdr:pic>
    <xdr:clientData/>
  </xdr:twoCellAnchor>
  <xdr:oneCellAnchor>
    <xdr:from>
      <xdr:col>25</xdr:col>
      <xdr:colOff>100854</xdr:colOff>
      <xdr:row>189</xdr:row>
      <xdr:rowOff>60973</xdr:rowOff>
    </xdr:from>
    <xdr:ext cx="4462623" cy="338811"/>
    <xdr:sp macro="" textlink="" fLocksText="0">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6530229" y="30769573"/>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2</xdr:col>
      <xdr:colOff>0</xdr:colOff>
      <xdr:row>171</xdr:row>
      <xdr:rowOff>0</xdr:rowOff>
    </xdr:from>
    <xdr:to>
      <xdr:col>11</xdr:col>
      <xdr:colOff>144562</xdr:colOff>
      <xdr:row>172</xdr:row>
      <xdr:rowOff>98743</xdr:rowOff>
    </xdr:to>
    <xdr:sp macro="" textlink="">
      <xdr:nvSpPr>
        <xdr:cNvPr id="115" name="角丸四角形 114">
          <a:extLst>
            <a:ext uri="{FF2B5EF4-FFF2-40B4-BE49-F238E27FC236}">
              <a16:creationId xmlns:a16="http://schemas.microsoft.com/office/drawing/2014/main" id="{00000000-0008-0000-0100-000073000000}"/>
            </a:ext>
          </a:extLst>
        </xdr:cNvPr>
        <xdr:cNvSpPr/>
      </xdr:nvSpPr>
      <xdr:spPr>
        <a:xfrm>
          <a:off x="514350" y="26250900"/>
          <a:ext cx="2459137" cy="34639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15</xdr:col>
          <xdr:colOff>241300</xdr:colOff>
          <xdr:row>175</xdr:row>
          <xdr:rowOff>0</xdr:rowOff>
        </xdr:to>
        <xdr:sp macro="" textlink="">
          <xdr:nvSpPr>
            <xdr:cNvPr id="89265" name="Check Box 177" hidden="1">
              <a:extLst>
                <a:ext uri="{63B3BB69-23CF-44E3-9099-C40C66FF867C}">
                  <a14:compatExt spid="_x0000_s89265"/>
                </a:ext>
                <a:ext uri="{FF2B5EF4-FFF2-40B4-BE49-F238E27FC236}">
                  <a16:creationId xmlns:a16="http://schemas.microsoft.com/office/drawing/2014/main" id="{00000000-0008-0000-0100-0000B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29</xdr:col>
      <xdr:colOff>145675</xdr:colOff>
      <xdr:row>172</xdr:row>
      <xdr:rowOff>44824</xdr:rowOff>
    </xdr:from>
    <xdr:to>
      <xdr:col>42</xdr:col>
      <xdr:colOff>112059</xdr:colOff>
      <xdr:row>174</xdr:row>
      <xdr:rowOff>212885</xdr:rowOff>
    </xdr:to>
    <xdr:sp macro="" textlink="">
      <xdr:nvSpPr>
        <xdr:cNvPr id="116" name="角丸四角形吹き出し 115">
          <a:extLst>
            <a:ext uri="{FF2B5EF4-FFF2-40B4-BE49-F238E27FC236}">
              <a16:creationId xmlns:a16="http://schemas.microsoft.com/office/drawing/2014/main" id="{00000000-0008-0000-0100-000074000000}"/>
            </a:ext>
          </a:extLst>
        </xdr:cNvPr>
        <xdr:cNvSpPr/>
      </xdr:nvSpPr>
      <xdr:spPr>
        <a:xfrm>
          <a:off x="7619999" y="26423471"/>
          <a:ext cx="3316942" cy="661120"/>
        </a:xfrm>
        <a:prstGeom prst="wedgeRoundRectCallout">
          <a:avLst>
            <a:gd name="adj1" fmla="val -60018"/>
            <a:gd name="adj2" fmla="val 30698"/>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追加アプリをお申込の場合は、規約をご確認のうえチェックをお願いいたします。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89266" name="Check Box 178" hidden="1">
              <a:extLst>
                <a:ext uri="{63B3BB69-23CF-44E3-9099-C40C66FF867C}">
                  <a14:compatExt spid="_x0000_s89266"/>
                </a:ext>
                <a:ext uri="{FF2B5EF4-FFF2-40B4-BE49-F238E27FC236}">
                  <a16:creationId xmlns:a16="http://schemas.microsoft.com/office/drawing/2014/main" id="{00000000-0008-0000-0100-0000B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23</xdr:col>
          <xdr:colOff>241300</xdr:colOff>
          <xdr:row>78</xdr:row>
          <xdr:rowOff>19050</xdr:rowOff>
        </xdr:to>
        <xdr:sp macro="" textlink="">
          <xdr:nvSpPr>
            <xdr:cNvPr id="89267" name="Group Box 179" hidden="1">
              <a:extLst>
                <a:ext uri="{63B3BB69-23CF-44E3-9099-C40C66FF867C}">
                  <a14:compatExt spid="_x0000_s89267"/>
                </a:ext>
                <a:ext uri="{FF2B5EF4-FFF2-40B4-BE49-F238E27FC236}">
                  <a16:creationId xmlns:a16="http://schemas.microsoft.com/office/drawing/2014/main" id="{00000000-0008-0000-0100-0000B3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89268" name="Check Box 180" hidden="1">
              <a:extLst>
                <a:ext uri="{63B3BB69-23CF-44E3-9099-C40C66FF867C}">
                  <a14:compatExt spid="_x0000_s89268"/>
                </a:ext>
                <a:ext uri="{FF2B5EF4-FFF2-40B4-BE49-F238E27FC236}">
                  <a16:creationId xmlns:a16="http://schemas.microsoft.com/office/drawing/2014/main" id="{00000000-0008-0000-0100-0000B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89269" name="Group Box 181" hidden="1">
              <a:extLst>
                <a:ext uri="{63B3BB69-23CF-44E3-9099-C40C66FF867C}">
                  <a14:compatExt spid="_x0000_s89269"/>
                </a:ext>
                <a:ext uri="{FF2B5EF4-FFF2-40B4-BE49-F238E27FC236}">
                  <a16:creationId xmlns:a16="http://schemas.microsoft.com/office/drawing/2014/main" id="{00000000-0008-0000-0100-0000B5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89270" name="Option Button 182" hidden="1">
              <a:extLst>
                <a:ext uri="{63B3BB69-23CF-44E3-9099-C40C66FF867C}">
                  <a14:compatExt spid="_x0000_s89270"/>
                </a:ext>
                <a:ext uri="{FF2B5EF4-FFF2-40B4-BE49-F238E27FC236}">
                  <a16:creationId xmlns:a16="http://schemas.microsoft.com/office/drawing/2014/main" id="{00000000-0008-0000-0100-0000B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45</xdr:col>
          <xdr:colOff>241300</xdr:colOff>
          <xdr:row>78</xdr:row>
          <xdr:rowOff>241300</xdr:rowOff>
        </xdr:to>
        <xdr:sp macro="" textlink="">
          <xdr:nvSpPr>
            <xdr:cNvPr id="89271" name="Option Button 183" hidden="1">
              <a:extLst>
                <a:ext uri="{63B3BB69-23CF-44E3-9099-C40C66FF867C}">
                  <a14:compatExt spid="_x0000_s89271"/>
                </a:ext>
                <a:ext uri="{FF2B5EF4-FFF2-40B4-BE49-F238E27FC236}">
                  <a16:creationId xmlns:a16="http://schemas.microsoft.com/office/drawing/2014/main" id="{00000000-0008-0000-0100-0000B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44824</xdr:colOff>
      <xdr:row>77</xdr:row>
      <xdr:rowOff>33618</xdr:rowOff>
    </xdr:from>
    <xdr:to>
      <xdr:col>45</xdr:col>
      <xdr:colOff>201706</xdr:colOff>
      <xdr:row>77</xdr:row>
      <xdr:rowOff>201706</xdr:rowOff>
    </xdr:to>
    <xdr:sp macro="" textlink="">
      <xdr:nvSpPr>
        <xdr:cNvPr id="119" name="角丸四角形 118">
          <a:extLst>
            <a:ext uri="{FF2B5EF4-FFF2-40B4-BE49-F238E27FC236}">
              <a16:creationId xmlns:a16="http://schemas.microsoft.com/office/drawing/2014/main" id="{00000000-0008-0000-0100-000077000000}"/>
            </a:ext>
          </a:extLst>
        </xdr:cNvPr>
        <xdr:cNvSpPr/>
      </xdr:nvSpPr>
      <xdr:spPr>
        <a:xfrm>
          <a:off x="2879912" y="14578853"/>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44824</xdr:colOff>
      <xdr:row>79</xdr:row>
      <xdr:rowOff>33618</xdr:rowOff>
    </xdr:from>
    <xdr:to>
      <xdr:col>45</xdr:col>
      <xdr:colOff>201706</xdr:colOff>
      <xdr:row>79</xdr:row>
      <xdr:rowOff>201706</xdr:rowOff>
    </xdr:to>
    <xdr:sp macro="" textlink="">
      <xdr:nvSpPr>
        <xdr:cNvPr id="123" name="角丸四角形 122">
          <a:extLst>
            <a:ext uri="{FF2B5EF4-FFF2-40B4-BE49-F238E27FC236}">
              <a16:creationId xmlns:a16="http://schemas.microsoft.com/office/drawing/2014/main" id="{00000000-0008-0000-0100-00007B000000}"/>
            </a:ext>
          </a:extLst>
        </xdr:cNvPr>
        <xdr:cNvSpPr/>
      </xdr:nvSpPr>
      <xdr:spPr>
        <a:xfrm>
          <a:off x="2879912" y="15071912"/>
          <a:ext cx="8919882" cy="168088"/>
        </a:xfrm>
        <a:prstGeom prst="roundRect">
          <a:avLst>
            <a:gd name="adj" fmla="val 4685"/>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89273" name="Check Box 185" hidden="1">
              <a:extLst>
                <a:ext uri="{63B3BB69-23CF-44E3-9099-C40C66FF867C}">
                  <a14:compatExt spid="_x0000_s89273"/>
                </a:ext>
                <a:ext uri="{FF2B5EF4-FFF2-40B4-BE49-F238E27FC236}">
                  <a16:creationId xmlns:a16="http://schemas.microsoft.com/office/drawing/2014/main" id="{00000000-0008-0000-0100-0000B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247650</xdr:colOff>
          <xdr:row>158</xdr:row>
          <xdr:rowOff>12700</xdr:rowOff>
        </xdr:from>
        <xdr:to>
          <xdr:col>27</xdr:col>
          <xdr:colOff>247650</xdr:colOff>
          <xdr:row>161</xdr:row>
          <xdr:rowOff>241300</xdr:rowOff>
        </xdr:to>
        <xdr:sp macro="" textlink="">
          <xdr:nvSpPr>
            <xdr:cNvPr id="89274" name="Group Box 186" hidden="1">
              <a:extLst>
                <a:ext uri="{63B3BB69-23CF-44E3-9099-C40C66FF867C}">
                  <a14:compatExt spid="_x0000_s89274"/>
                </a:ext>
                <a:ext uri="{FF2B5EF4-FFF2-40B4-BE49-F238E27FC236}">
                  <a16:creationId xmlns:a16="http://schemas.microsoft.com/office/drawing/2014/main" id="{00000000-0008-0000-0100-0000BA5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12700</xdr:rowOff>
        </xdr:from>
        <xdr:to>
          <xdr:col>20</xdr:col>
          <xdr:colOff>50800</xdr:colOff>
          <xdr:row>159</xdr:row>
          <xdr:rowOff>0</xdr:rowOff>
        </xdr:to>
        <xdr:sp macro="" textlink="">
          <xdr:nvSpPr>
            <xdr:cNvPr id="89275" name="Option Button 187" hidden="1">
              <a:extLst>
                <a:ext uri="{63B3BB69-23CF-44E3-9099-C40C66FF867C}">
                  <a14:compatExt spid="_x0000_s89275"/>
                </a:ext>
                <a:ext uri="{FF2B5EF4-FFF2-40B4-BE49-F238E27FC236}">
                  <a16:creationId xmlns:a16="http://schemas.microsoft.com/office/drawing/2014/main" id="{00000000-0008-0000-0100-0000B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12700</xdr:rowOff>
        </xdr:from>
        <xdr:to>
          <xdr:col>26</xdr:col>
          <xdr:colOff>38100</xdr:colOff>
          <xdr:row>159</xdr:row>
          <xdr:rowOff>0</xdr:rowOff>
        </xdr:to>
        <xdr:sp macro="" textlink="">
          <xdr:nvSpPr>
            <xdr:cNvPr id="89276" name="Option Button 188" hidden="1">
              <a:extLst>
                <a:ext uri="{63B3BB69-23CF-44E3-9099-C40C66FF867C}">
                  <a14:compatExt spid="_x0000_s89276"/>
                </a:ext>
                <a:ext uri="{FF2B5EF4-FFF2-40B4-BE49-F238E27FC236}">
                  <a16:creationId xmlns:a16="http://schemas.microsoft.com/office/drawing/2014/main" id="{00000000-0008-0000-0100-0000B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984250</xdr:colOff>
          <xdr:row>6</xdr:row>
          <xdr:rowOff>184150</xdr:rowOff>
        </xdr:to>
        <xdr:sp macro="" textlink="">
          <xdr:nvSpPr>
            <xdr:cNvPr id="159745" name="Option Button 1" hidden="1">
              <a:extLst>
                <a:ext uri="{63B3BB69-23CF-44E3-9099-C40C66FF867C}">
                  <a14:compatExt spid="_x0000_s159745"/>
                </a:ext>
                <a:ext uri="{FF2B5EF4-FFF2-40B4-BE49-F238E27FC236}">
                  <a16:creationId xmlns:a16="http://schemas.microsoft.com/office/drawing/2014/main" id="{00000000-0008-0000-0200-00000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984250</xdr:colOff>
          <xdr:row>7</xdr:row>
          <xdr:rowOff>184150</xdr:rowOff>
        </xdr:to>
        <xdr:sp macro="" textlink="">
          <xdr:nvSpPr>
            <xdr:cNvPr id="159746" name="Option Button 2" hidden="1">
              <a:extLst>
                <a:ext uri="{63B3BB69-23CF-44E3-9099-C40C66FF867C}">
                  <a14:compatExt spid="_x0000_s159746"/>
                </a:ext>
                <a:ext uri="{FF2B5EF4-FFF2-40B4-BE49-F238E27FC236}">
                  <a16:creationId xmlns:a16="http://schemas.microsoft.com/office/drawing/2014/main" id="{00000000-0008-0000-0200-00000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984250</xdr:colOff>
          <xdr:row>8</xdr:row>
          <xdr:rowOff>184150</xdr:rowOff>
        </xdr:to>
        <xdr:sp macro="" textlink="">
          <xdr:nvSpPr>
            <xdr:cNvPr id="159747" name="Option Button 3" hidden="1">
              <a:extLst>
                <a:ext uri="{63B3BB69-23CF-44E3-9099-C40C66FF867C}">
                  <a14:compatExt spid="_x0000_s159747"/>
                </a:ext>
                <a:ext uri="{FF2B5EF4-FFF2-40B4-BE49-F238E27FC236}">
                  <a16:creationId xmlns:a16="http://schemas.microsoft.com/office/drawing/2014/main" id="{00000000-0008-0000-0200-00000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984250</xdr:colOff>
          <xdr:row>9</xdr:row>
          <xdr:rowOff>184150</xdr:rowOff>
        </xdr:to>
        <xdr:sp macro="" textlink="">
          <xdr:nvSpPr>
            <xdr:cNvPr id="159748" name="Option Button 4" hidden="1">
              <a:extLst>
                <a:ext uri="{63B3BB69-23CF-44E3-9099-C40C66FF867C}">
                  <a14:compatExt spid="_x0000_s159748"/>
                </a:ext>
                <a:ext uri="{FF2B5EF4-FFF2-40B4-BE49-F238E27FC236}">
                  <a16:creationId xmlns:a16="http://schemas.microsoft.com/office/drawing/2014/main" id="{00000000-0008-0000-0200-00000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984250</xdr:colOff>
          <xdr:row>10</xdr:row>
          <xdr:rowOff>184150</xdr:rowOff>
        </xdr:to>
        <xdr:sp macro="" textlink="">
          <xdr:nvSpPr>
            <xdr:cNvPr id="159749" name="Option Button 5" hidden="1">
              <a:extLst>
                <a:ext uri="{63B3BB69-23CF-44E3-9099-C40C66FF867C}">
                  <a14:compatExt spid="_x0000_s159749"/>
                </a:ext>
                <a:ext uri="{FF2B5EF4-FFF2-40B4-BE49-F238E27FC236}">
                  <a16:creationId xmlns:a16="http://schemas.microsoft.com/office/drawing/2014/main" id="{00000000-0008-0000-0200-00000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984250</xdr:colOff>
          <xdr:row>11</xdr:row>
          <xdr:rowOff>184150</xdr:rowOff>
        </xdr:to>
        <xdr:sp macro="" textlink="">
          <xdr:nvSpPr>
            <xdr:cNvPr id="159750" name="Option Button 6" hidden="1">
              <a:extLst>
                <a:ext uri="{63B3BB69-23CF-44E3-9099-C40C66FF867C}">
                  <a14:compatExt spid="_x0000_s159750"/>
                </a:ext>
                <a:ext uri="{FF2B5EF4-FFF2-40B4-BE49-F238E27FC236}">
                  <a16:creationId xmlns:a16="http://schemas.microsoft.com/office/drawing/2014/main" id="{00000000-0008-0000-0200-00000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984250</xdr:colOff>
          <xdr:row>12</xdr:row>
          <xdr:rowOff>184150</xdr:rowOff>
        </xdr:to>
        <xdr:sp macro="" textlink="">
          <xdr:nvSpPr>
            <xdr:cNvPr id="159751" name="Option Button 7" hidden="1">
              <a:extLst>
                <a:ext uri="{63B3BB69-23CF-44E3-9099-C40C66FF867C}">
                  <a14:compatExt spid="_x0000_s159751"/>
                </a:ext>
                <a:ext uri="{FF2B5EF4-FFF2-40B4-BE49-F238E27FC236}">
                  <a16:creationId xmlns:a16="http://schemas.microsoft.com/office/drawing/2014/main" id="{00000000-0008-0000-0200-00000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984250</xdr:colOff>
          <xdr:row>13</xdr:row>
          <xdr:rowOff>184150</xdr:rowOff>
        </xdr:to>
        <xdr:sp macro="" textlink="">
          <xdr:nvSpPr>
            <xdr:cNvPr id="159752" name="Option Button 8" hidden="1">
              <a:extLst>
                <a:ext uri="{63B3BB69-23CF-44E3-9099-C40C66FF867C}">
                  <a14:compatExt spid="_x0000_s159752"/>
                </a:ext>
                <a:ext uri="{FF2B5EF4-FFF2-40B4-BE49-F238E27FC236}">
                  <a16:creationId xmlns:a16="http://schemas.microsoft.com/office/drawing/2014/main" id="{00000000-0008-0000-0200-00000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984250</xdr:colOff>
          <xdr:row>14</xdr:row>
          <xdr:rowOff>184150</xdr:rowOff>
        </xdr:to>
        <xdr:sp macro="" textlink="">
          <xdr:nvSpPr>
            <xdr:cNvPr id="159753" name="Option Button 9" hidden="1">
              <a:extLst>
                <a:ext uri="{63B3BB69-23CF-44E3-9099-C40C66FF867C}">
                  <a14:compatExt spid="_x0000_s159753"/>
                </a:ext>
                <a:ext uri="{FF2B5EF4-FFF2-40B4-BE49-F238E27FC236}">
                  <a16:creationId xmlns:a16="http://schemas.microsoft.com/office/drawing/2014/main" id="{00000000-0008-0000-0200-00000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984250</xdr:colOff>
          <xdr:row>15</xdr:row>
          <xdr:rowOff>184150</xdr:rowOff>
        </xdr:to>
        <xdr:sp macro="" textlink="">
          <xdr:nvSpPr>
            <xdr:cNvPr id="159754" name="Option Button 10" hidden="1">
              <a:extLst>
                <a:ext uri="{63B3BB69-23CF-44E3-9099-C40C66FF867C}">
                  <a14:compatExt spid="_x0000_s159754"/>
                </a:ext>
                <a:ext uri="{FF2B5EF4-FFF2-40B4-BE49-F238E27FC236}">
                  <a16:creationId xmlns:a16="http://schemas.microsoft.com/office/drawing/2014/main" id="{00000000-0008-0000-0200-00000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984250</xdr:colOff>
          <xdr:row>16</xdr:row>
          <xdr:rowOff>184150</xdr:rowOff>
        </xdr:to>
        <xdr:sp macro="" textlink="">
          <xdr:nvSpPr>
            <xdr:cNvPr id="159755" name="Option Button 11" hidden="1">
              <a:extLst>
                <a:ext uri="{63B3BB69-23CF-44E3-9099-C40C66FF867C}">
                  <a14:compatExt spid="_x0000_s159755"/>
                </a:ext>
                <a:ext uri="{FF2B5EF4-FFF2-40B4-BE49-F238E27FC236}">
                  <a16:creationId xmlns:a16="http://schemas.microsoft.com/office/drawing/2014/main" id="{00000000-0008-0000-0200-00000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984250</xdr:colOff>
          <xdr:row>17</xdr:row>
          <xdr:rowOff>184150</xdr:rowOff>
        </xdr:to>
        <xdr:sp macro="" textlink="">
          <xdr:nvSpPr>
            <xdr:cNvPr id="159756" name="Option Button 12" hidden="1">
              <a:extLst>
                <a:ext uri="{63B3BB69-23CF-44E3-9099-C40C66FF867C}">
                  <a14:compatExt spid="_x0000_s159756"/>
                </a:ext>
                <a:ext uri="{FF2B5EF4-FFF2-40B4-BE49-F238E27FC236}">
                  <a16:creationId xmlns:a16="http://schemas.microsoft.com/office/drawing/2014/main" id="{00000000-0008-0000-0200-00000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984250</xdr:colOff>
          <xdr:row>18</xdr:row>
          <xdr:rowOff>184150</xdr:rowOff>
        </xdr:to>
        <xdr:sp macro="" textlink="">
          <xdr:nvSpPr>
            <xdr:cNvPr id="159757" name="Option Button 13" hidden="1">
              <a:extLst>
                <a:ext uri="{63B3BB69-23CF-44E3-9099-C40C66FF867C}">
                  <a14:compatExt spid="_x0000_s159757"/>
                </a:ext>
                <a:ext uri="{FF2B5EF4-FFF2-40B4-BE49-F238E27FC236}">
                  <a16:creationId xmlns:a16="http://schemas.microsoft.com/office/drawing/2014/main" id="{00000000-0008-0000-0200-00000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984250</xdr:colOff>
          <xdr:row>19</xdr:row>
          <xdr:rowOff>184150</xdr:rowOff>
        </xdr:to>
        <xdr:sp macro="" textlink="">
          <xdr:nvSpPr>
            <xdr:cNvPr id="159758" name="Option Button 14" hidden="1">
              <a:extLst>
                <a:ext uri="{63B3BB69-23CF-44E3-9099-C40C66FF867C}">
                  <a14:compatExt spid="_x0000_s159758"/>
                </a:ext>
                <a:ext uri="{FF2B5EF4-FFF2-40B4-BE49-F238E27FC236}">
                  <a16:creationId xmlns:a16="http://schemas.microsoft.com/office/drawing/2014/main" id="{00000000-0008-0000-0200-00000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984250</xdr:colOff>
          <xdr:row>20</xdr:row>
          <xdr:rowOff>184150</xdr:rowOff>
        </xdr:to>
        <xdr:sp macro="" textlink="">
          <xdr:nvSpPr>
            <xdr:cNvPr id="159759" name="Option Button 15" hidden="1">
              <a:extLst>
                <a:ext uri="{63B3BB69-23CF-44E3-9099-C40C66FF867C}">
                  <a14:compatExt spid="_x0000_s159759"/>
                </a:ext>
                <a:ext uri="{FF2B5EF4-FFF2-40B4-BE49-F238E27FC236}">
                  <a16:creationId xmlns:a16="http://schemas.microsoft.com/office/drawing/2014/main" id="{00000000-0008-0000-0200-00000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984250</xdr:colOff>
          <xdr:row>21</xdr:row>
          <xdr:rowOff>184150</xdr:rowOff>
        </xdr:to>
        <xdr:sp macro="" textlink="">
          <xdr:nvSpPr>
            <xdr:cNvPr id="159760" name="Option Button 16" hidden="1">
              <a:extLst>
                <a:ext uri="{63B3BB69-23CF-44E3-9099-C40C66FF867C}">
                  <a14:compatExt spid="_x0000_s159760"/>
                </a:ext>
                <a:ext uri="{FF2B5EF4-FFF2-40B4-BE49-F238E27FC236}">
                  <a16:creationId xmlns:a16="http://schemas.microsoft.com/office/drawing/2014/main" id="{00000000-0008-0000-0200-00001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984250</xdr:colOff>
          <xdr:row>22</xdr:row>
          <xdr:rowOff>184150</xdr:rowOff>
        </xdr:to>
        <xdr:sp macro="" textlink="">
          <xdr:nvSpPr>
            <xdr:cNvPr id="159761" name="Option Button 17" hidden="1">
              <a:extLst>
                <a:ext uri="{63B3BB69-23CF-44E3-9099-C40C66FF867C}">
                  <a14:compatExt spid="_x0000_s159761"/>
                </a:ext>
                <a:ext uri="{FF2B5EF4-FFF2-40B4-BE49-F238E27FC236}">
                  <a16:creationId xmlns:a16="http://schemas.microsoft.com/office/drawing/2014/main" id="{00000000-0008-0000-0200-00001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984250</xdr:colOff>
          <xdr:row>23</xdr:row>
          <xdr:rowOff>184150</xdr:rowOff>
        </xdr:to>
        <xdr:sp macro="" textlink="">
          <xdr:nvSpPr>
            <xdr:cNvPr id="159762" name="Option Button 18" hidden="1">
              <a:extLst>
                <a:ext uri="{63B3BB69-23CF-44E3-9099-C40C66FF867C}">
                  <a14:compatExt spid="_x0000_s159762"/>
                </a:ext>
                <a:ext uri="{FF2B5EF4-FFF2-40B4-BE49-F238E27FC236}">
                  <a16:creationId xmlns:a16="http://schemas.microsoft.com/office/drawing/2014/main" id="{00000000-0008-0000-0200-00001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984250</xdr:colOff>
          <xdr:row>24</xdr:row>
          <xdr:rowOff>184150</xdr:rowOff>
        </xdr:to>
        <xdr:sp macro="" textlink="">
          <xdr:nvSpPr>
            <xdr:cNvPr id="159763" name="Option Button 19" hidden="1">
              <a:extLst>
                <a:ext uri="{63B3BB69-23CF-44E3-9099-C40C66FF867C}">
                  <a14:compatExt spid="_x0000_s159763"/>
                </a:ext>
                <a:ext uri="{FF2B5EF4-FFF2-40B4-BE49-F238E27FC236}">
                  <a16:creationId xmlns:a16="http://schemas.microsoft.com/office/drawing/2014/main" id="{00000000-0008-0000-0200-00001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984250</xdr:colOff>
          <xdr:row>25</xdr:row>
          <xdr:rowOff>184150</xdr:rowOff>
        </xdr:to>
        <xdr:sp macro="" textlink="">
          <xdr:nvSpPr>
            <xdr:cNvPr id="159764" name="Option Button 20" hidden="1">
              <a:extLst>
                <a:ext uri="{63B3BB69-23CF-44E3-9099-C40C66FF867C}">
                  <a14:compatExt spid="_x0000_s159764"/>
                </a:ext>
                <a:ext uri="{FF2B5EF4-FFF2-40B4-BE49-F238E27FC236}">
                  <a16:creationId xmlns:a16="http://schemas.microsoft.com/office/drawing/2014/main" id="{00000000-0008-0000-0200-00001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984250</xdr:colOff>
          <xdr:row>26</xdr:row>
          <xdr:rowOff>184150</xdr:rowOff>
        </xdr:to>
        <xdr:sp macro="" textlink="">
          <xdr:nvSpPr>
            <xdr:cNvPr id="159765" name="Option Button 21" hidden="1">
              <a:extLst>
                <a:ext uri="{63B3BB69-23CF-44E3-9099-C40C66FF867C}">
                  <a14:compatExt spid="_x0000_s159765"/>
                </a:ext>
                <a:ext uri="{FF2B5EF4-FFF2-40B4-BE49-F238E27FC236}">
                  <a16:creationId xmlns:a16="http://schemas.microsoft.com/office/drawing/2014/main" id="{00000000-0008-0000-0200-00001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984250</xdr:colOff>
          <xdr:row>27</xdr:row>
          <xdr:rowOff>184150</xdr:rowOff>
        </xdr:to>
        <xdr:sp macro="" textlink="">
          <xdr:nvSpPr>
            <xdr:cNvPr id="159766" name="Option Button 22" hidden="1">
              <a:extLst>
                <a:ext uri="{63B3BB69-23CF-44E3-9099-C40C66FF867C}">
                  <a14:compatExt spid="_x0000_s159766"/>
                </a:ext>
                <a:ext uri="{FF2B5EF4-FFF2-40B4-BE49-F238E27FC236}">
                  <a16:creationId xmlns:a16="http://schemas.microsoft.com/office/drawing/2014/main" id="{00000000-0008-0000-0200-00001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984250</xdr:colOff>
          <xdr:row>28</xdr:row>
          <xdr:rowOff>184150</xdr:rowOff>
        </xdr:to>
        <xdr:sp macro="" textlink="">
          <xdr:nvSpPr>
            <xdr:cNvPr id="159767" name="Option Button 23" hidden="1">
              <a:extLst>
                <a:ext uri="{63B3BB69-23CF-44E3-9099-C40C66FF867C}">
                  <a14:compatExt spid="_x0000_s159767"/>
                </a:ext>
                <a:ext uri="{FF2B5EF4-FFF2-40B4-BE49-F238E27FC236}">
                  <a16:creationId xmlns:a16="http://schemas.microsoft.com/office/drawing/2014/main" id="{00000000-0008-0000-0200-00001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984250</xdr:colOff>
          <xdr:row>29</xdr:row>
          <xdr:rowOff>184150</xdr:rowOff>
        </xdr:to>
        <xdr:sp macro="" textlink="">
          <xdr:nvSpPr>
            <xdr:cNvPr id="159768" name="Option Button 24" hidden="1">
              <a:extLst>
                <a:ext uri="{63B3BB69-23CF-44E3-9099-C40C66FF867C}">
                  <a14:compatExt spid="_x0000_s159768"/>
                </a:ext>
                <a:ext uri="{FF2B5EF4-FFF2-40B4-BE49-F238E27FC236}">
                  <a16:creationId xmlns:a16="http://schemas.microsoft.com/office/drawing/2014/main" id="{00000000-0008-0000-0200-00001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984250</xdr:colOff>
          <xdr:row>30</xdr:row>
          <xdr:rowOff>184150</xdr:rowOff>
        </xdr:to>
        <xdr:sp macro="" textlink="">
          <xdr:nvSpPr>
            <xdr:cNvPr id="159769" name="Option Button 25" hidden="1">
              <a:extLst>
                <a:ext uri="{63B3BB69-23CF-44E3-9099-C40C66FF867C}">
                  <a14:compatExt spid="_x0000_s159769"/>
                </a:ext>
                <a:ext uri="{FF2B5EF4-FFF2-40B4-BE49-F238E27FC236}">
                  <a16:creationId xmlns:a16="http://schemas.microsoft.com/office/drawing/2014/main" id="{00000000-0008-0000-0200-00001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984250</xdr:colOff>
          <xdr:row>31</xdr:row>
          <xdr:rowOff>184150</xdr:rowOff>
        </xdr:to>
        <xdr:sp macro="" textlink="">
          <xdr:nvSpPr>
            <xdr:cNvPr id="159770" name="Option Button 26" hidden="1">
              <a:extLst>
                <a:ext uri="{63B3BB69-23CF-44E3-9099-C40C66FF867C}">
                  <a14:compatExt spid="_x0000_s159770"/>
                </a:ext>
                <a:ext uri="{FF2B5EF4-FFF2-40B4-BE49-F238E27FC236}">
                  <a16:creationId xmlns:a16="http://schemas.microsoft.com/office/drawing/2014/main" id="{00000000-0008-0000-0200-00001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984250</xdr:colOff>
          <xdr:row>32</xdr:row>
          <xdr:rowOff>184150</xdr:rowOff>
        </xdr:to>
        <xdr:sp macro="" textlink="">
          <xdr:nvSpPr>
            <xdr:cNvPr id="159771" name="Option Button 27" hidden="1">
              <a:extLst>
                <a:ext uri="{63B3BB69-23CF-44E3-9099-C40C66FF867C}">
                  <a14:compatExt spid="_x0000_s159771"/>
                </a:ext>
                <a:ext uri="{FF2B5EF4-FFF2-40B4-BE49-F238E27FC236}">
                  <a16:creationId xmlns:a16="http://schemas.microsoft.com/office/drawing/2014/main" id="{00000000-0008-0000-0200-00001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984250</xdr:colOff>
          <xdr:row>33</xdr:row>
          <xdr:rowOff>184150</xdr:rowOff>
        </xdr:to>
        <xdr:sp macro="" textlink="">
          <xdr:nvSpPr>
            <xdr:cNvPr id="159772" name="Option Button 28" hidden="1">
              <a:extLst>
                <a:ext uri="{63B3BB69-23CF-44E3-9099-C40C66FF867C}">
                  <a14:compatExt spid="_x0000_s159772"/>
                </a:ext>
                <a:ext uri="{FF2B5EF4-FFF2-40B4-BE49-F238E27FC236}">
                  <a16:creationId xmlns:a16="http://schemas.microsoft.com/office/drawing/2014/main" id="{00000000-0008-0000-0200-00001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984250</xdr:colOff>
          <xdr:row>34</xdr:row>
          <xdr:rowOff>184150</xdr:rowOff>
        </xdr:to>
        <xdr:sp macro="" textlink="">
          <xdr:nvSpPr>
            <xdr:cNvPr id="159773" name="Option Button 29" hidden="1">
              <a:extLst>
                <a:ext uri="{63B3BB69-23CF-44E3-9099-C40C66FF867C}">
                  <a14:compatExt spid="_x0000_s159773"/>
                </a:ext>
                <a:ext uri="{FF2B5EF4-FFF2-40B4-BE49-F238E27FC236}">
                  <a16:creationId xmlns:a16="http://schemas.microsoft.com/office/drawing/2014/main" id="{00000000-0008-0000-0200-00001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984250</xdr:colOff>
          <xdr:row>35</xdr:row>
          <xdr:rowOff>184150</xdr:rowOff>
        </xdr:to>
        <xdr:sp macro="" textlink="">
          <xdr:nvSpPr>
            <xdr:cNvPr id="159774" name="Option Button 30" hidden="1">
              <a:extLst>
                <a:ext uri="{63B3BB69-23CF-44E3-9099-C40C66FF867C}">
                  <a14:compatExt spid="_x0000_s159774"/>
                </a:ext>
                <a:ext uri="{FF2B5EF4-FFF2-40B4-BE49-F238E27FC236}">
                  <a16:creationId xmlns:a16="http://schemas.microsoft.com/office/drawing/2014/main" id="{00000000-0008-0000-0200-00001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984250</xdr:colOff>
          <xdr:row>36</xdr:row>
          <xdr:rowOff>184150</xdr:rowOff>
        </xdr:to>
        <xdr:sp macro="" textlink="">
          <xdr:nvSpPr>
            <xdr:cNvPr id="159775" name="Option Button 31" hidden="1">
              <a:extLst>
                <a:ext uri="{63B3BB69-23CF-44E3-9099-C40C66FF867C}">
                  <a14:compatExt spid="_x0000_s159775"/>
                </a:ext>
                <a:ext uri="{FF2B5EF4-FFF2-40B4-BE49-F238E27FC236}">
                  <a16:creationId xmlns:a16="http://schemas.microsoft.com/office/drawing/2014/main" id="{00000000-0008-0000-0200-00001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984250</xdr:colOff>
          <xdr:row>37</xdr:row>
          <xdr:rowOff>184150</xdr:rowOff>
        </xdr:to>
        <xdr:sp macro="" textlink="">
          <xdr:nvSpPr>
            <xdr:cNvPr id="159776" name="Option Button 32" hidden="1">
              <a:extLst>
                <a:ext uri="{63B3BB69-23CF-44E3-9099-C40C66FF867C}">
                  <a14:compatExt spid="_x0000_s159776"/>
                </a:ext>
                <a:ext uri="{FF2B5EF4-FFF2-40B4-BE49-F238E27FC236}">
                  <a16:creationId xmlns:a16="http://schemas.microsoft.com/office/drawing/2014/main" id="{00000000-0008-0000-0200-00002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984250</xdr:colOff>
          <xdr:row>38</xdr:row>
          <xdr:rowOff>184150</xdr:rowOff>
        </xdr:to>
        <xdr:sp macro="" textlink="">
          <xdr:nvSpPr>
            <xdr:cNvPr id="159777" name="Option Button 33" hidden="1">
              <a:extLst>
                <a:ext uri="{63B3BB69-23CF-44E3-9099-C40C66FF867C}">
                  <a14:compatExt spid="_x0000_s159777"/>
                </a:ext>
                <a:ext uri="{FF2B5EF4-FFF2-40B4-BE49-F238E27FC236}">
                  <a16:creationId xmlns:a16="http://schemas.microsoft.com/office/drawing/2014/main" id="{00000000-0008-0000-0200-00002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984250</xdr:colOff>
          <xdr:row>39</xdr:row>
          <xdr:rowOff>184150</xdr:rowOff>
        </xdr:to>
        <xdr:sp macro="" textlink="">
          <xdr:nvSpPr>
            <xdr:cNvPr id="159778" name="Option Button 34" hidden="1">
              <a:extLst>
                <a:ext uri="{63B3BB69-23CF-44E3-9099-C40C66FF867C}">
                  <a14:compatExt spid="_x0000_s159778"/>
                </a:ext>
                <a:ext uri="{FF2B5EF4-FFF2-40B4-BE49-F238E27FC236}">
                  <a16:creationId xmlns:a16="http://schemas.microsoft.com/office/drawing/2014/main" id="{00000000-0008-0000-0200-00002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984250</xdr:colOff>
          <xdr:row>40</xdr:row>
          <xdr:rowOff>184150</xdr:rowOff>
        </xdr:to>
        <xdr:sp macro="" textlink="">
          <xdr:nvSpPr>
            <xdr:cNvPr id="159779" name="Option Button 35" hidden="1">
              <a:extLst>
                <a:ext uri="{63B3BB69-23CF-44E3-9099-C40C66FF867C}">
                  <a14:compatExt spid="_x0000_s159779"/>
                </a:ext>
                <a:ext uri="{FF2B5EF4-FFF2-40B4-BE49-F238E27FC236}">
                  <a16:creationId xmlns:a16="http://schemas.microsoft.com/office/drawing/2014/main" id="{00000000-0008-0000-0200-00002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984250</xdr:colOff>
          <xdr:row>41</xdr:row>
          <xdr:rowOff>184150</xdr:rowOff>
        </xdr:to>
        <xdr:sp macro="" textlink="">
          <xdr:nvSpPr>
            <xdr:cNvPr id="159780" name="Option Button 36" hidden="1">
              <a:extLst>
                <a:ext uri="{63B3BB69-23CF-44E3-9099-C40C66FF867C}">
                  <a14:compatExt spid="_x0000_s159780"/>
                </a:ext>
                <a:ext uri="{FF2B5EF4-FFF2-40B4-BE49-F238E27FC236}">
                  <a16:creationId xmlns:a16="http://schemas.microsoft.com/office/drawing/2014/main" id="{00000000-0008-0000-0200-00002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984250</xdr:colOff>
          <xdr:row>42</xdr:row>
          <xdr:rowOff>184150</xdr:rowOff>
        </xdr:to>
        <xdr:sp macro="" textlink="">
          <xdr:nvSpPr>
            <xdr:cNvPr id="159781" name="Option Button 37" hidden="1">
              <a:extLst>
                <a:ext uri="{63B3BB69-23CF-44E3-9099-C40C66FF867C}">
                  <a14:compatExt spid="_x0000_s159781"/>
                </a:ext>
                <a:ext uri="{FF2B5EF4-FFF2-40B4-BE49-F238E27FC236}">
                  <a16:creationId xmlns:a16="http://schemas.microsoft.com/office/drawing/2014/main" id="{00000000-0008-0000-0200-00002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984250</xdr:colOff>
          <xdr:row>43</xdr:row>
          <xdr:rowOff>184150</xdr:rowOff>
        </xdr:to>
        <xdr:sp macro="" textlink="">
          <xdr:nvSpPr>
            <xdr:cNvPr id="159782" name="Option Button 38" hidden="1">
              <a:extLst>
                <a:ext uri="{63B3BB69-23CF-44E3-9099-C40C66FF867C}">
                  <a14:compatExt spid="_x0000_s159782"/>
                </a:ext>
                <a:ext uri="{FF2B5EF4-FFF2-40B4-BE49-F238E27FC236}">
                  <a16:creationId xmlns:a16="http://schemas.microsoft.com/office/drawing/2014/main" id="{00000000-0008-0000-0200-00002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984250</xdr:colOff>
          <xdr:row>44</xdr:row>
          <xdr:rowOff>184150</xdr:rowOff>
        </xdr:to>
        <xdr:sp macro="" textlink="">
          <xdr:nvSpPr>
            <xdr:cNvPr id="159783" name="Option Button 39" hidden="1">
              <a:extLst>
                <a:ext uri="{63B3BB69-23CF-44E3-9099-C40C66FF867C}">
                  <a14:compatExt spid="_x0000_s159783"/>
                </a:ext>
                <a:ext uri="{FF2B5EF4-FFF2-40B4-BE49-F238E27FC236}">
                  <a16:creationId xmlns:a16="http://schemas.microsoft.com/office/drawing/2014/main" id="{00000000-0008-0000-0200-00002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984250</xdr:colOff>
          <xdr:row>45</xdr:row>
          <xdr:rowOff>184150</xdr:rowOff>
        </xdr:to>
        <xdr:sp macro="" textlink="">
          <xdr:nvSpPr>
            <xdr:cNvPr id="159784" name="Option Button 40" hidden="1">
              <a:extLst>
                <a:ext uri="{63B3BB69-23CF-44E3-9099-C40C66FF867C}">
                  <a14:compatExt spid="_x0000_s159784"/>
                </a:ext>
                <a:ext uri="{FF2B5EF4-FFF2-40B4-BE49-F238E27FC236}">
                  <a16:creationId xmlns:a16="http://schemas.microsoft.com/office/drawing/2014/main" id="{00000000-0008-0000-0200-00002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984250</xdr:colOff>
          <xdr:row>46</xdr:row>
          <xdr:rowOff>184150</xdr:rowOff>
        </xdr:to>
        <xdr:sp macro="" textlink="">
          <xdr:nvSpPr>
            <xdr:cNvPr id="159785" name="Option Button 41" hidden="1">
              <a:extLst>
                <a:ext uri="{63B3BB69-23CF-44E3-9099-C40C66FF867C}">
                  <a14:compatExt spid="_x0000_s159785"/>
                </a:ext>
                <a:ext uri="{FF2B5EF4-FFF2-40B4-BE49-F238E27FC236}">
                  <a16:creationId xmlns:a16="http://schemas.microsoft.com/office/drawing/2014/main" id="{00000000-0008-0000-0200-00002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38100</xdr:rowOff>
        </xdr:from>
        <xdr:to>
          <xdr:col>1</xdr:col>
          <xdr:colOff>984250</xdr:colOff>
          <xdr:row>47</xdr:row>
          <xdr:rowOff>190500</xdr:rowOff>
        </xdr:to>
        <xdr:sp macro="" textlink="">
          <xdr:nvSpPr>
            <xdr:cNvPr id="159786" name="Option Button 42" hidden="1">
              <a:extLst>
                <a:ext uri="{63B3BB69-23CF-44E3-9099-C40C66FF867C}">
                  <a14:compatExt spid="_x0000_s159786"/>
                </a:ext>
                <a:ext uri="{FF2B5EF4-FFF2-40B4-BE49-F238E27FC236}">
                  <a16:creationId xmlns:a16="http://schemas.microsoft.com/office/drawing/2014/main" id="{00000000-0008-0000-0200-00002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38100</xdr:rowOff>
        </xdr:from>
        <xdr:to>
          <xdr:col>1</xdr:col>
          <xdr:colOff>984250</xdr:colOff>
          <xdr:row>48</xdr:row>
          <xdr:rowOff>190500</xdr:rowOff>
        </xdr:to>
        <xdr:sp macro="" textlink="">
          <xdr:nvSpPr>
            <xdr:cNvPr id="159787" name="Option Button 43" hidden="1">
              <a:extLst>
                <a:ext uri="{63B3BB69-23CF-44E3-9099-C40C66FF867C}">
                  <a14:compatExt spid="_x0000_s159787"/>
                </a:ext>
                <a:ext uri="{FF2B5EF4-FFF2-40B4-BE49-F238E27FC236}">
                  <a16:creationId xmlns:a16="http://schemas.microsoft.com/office/drawing/2014/main" id="{00000000-0008-0000-0200-00002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38100</xdr:rowOff>
        </xdr:from>
        <xdr:to>
          <xdr:col>1</xdr:col>
          <xdr:colOff>984250</xdr:colOff>
          <xdr:row>49</xdr:row>
          <xdr:rowOff>190500</xdr:rowOff>
        </xdr:to>
        <xdr:sp macro="" textlink="">
          <xdr:nvSpPr>
            <xdr:cNvPr id="159788" name="Option Button 44" hidden="1">
              <a:extLst>
                <a:ext uri="{63B3BB69-23CF-44E3-9099-C40C66FF867C}">
                  <a14:compatExt spid="_x0000_s159788"/>
                </a:ext>
                <a:ext uri="{FF2B5EF4-FFF2-40B4-BE49-F238E27FC236}">
                  <a16:creationId xmlns:a16="http://schemas.microsoft.com/office/drawing/2014/main" id="{00000000-0008-0000-0200-00002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38100</xdr:rowOff>
        </xdr:from>
        <xdr:to>
          <xdr:col>1</xdr:col>
          <xdr:colOff>984250</xdr:colOff>
          <xdr:row>50</xdr:row>
          <xdr:rowOff>190500</xdr:rowOff>
        </xdr:to>
        <xdr:sp macro="" textlink="">
          <xdr:nvSpPr>
            <xdr:cNvPr id="159789" name="Option Button 45" hidden="1">
              <a:extLst>
                <a:ext uri="{63B3BB69-23CF-44E3-9099-C40C66FF867C}">
                  <a14:compatExt spid="_x0000_s159789"/>
                </a:ext>
                <a:ext uri="{FF2B5EF4-FFF2-40B4-BE49-F238E27FC236}">
                  <a16:creationId xmlns:a16="http://schemas.microsoft.com/office/drawing/2014/main" id="{00000000-0008-0000-0200-00002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38100</xdr:rowOff>
        </xdr:from>
        <xdr:to>
          <xdr:col>1</xdr:col>
          <xdr:colOff>984250</xdr:colOff>
          <xdr:row>51</xdr:row>
          <xdr:rowOff>190500</xdr:rowOff>
        </xdr:to>
        <xdr:sp macro="" textlink="">
          <xdr:nvSpPr>
            <xdr:cNvPr id="159790" name="Option Button 46" hidden="1">
              <a:extLst>
                <a:ext uri="{63B3BB69-23CF-44E3-9099-C40C66FF867C}">
                  <a14:compatExt spid="_x0000_s159790"/>
                </a:ext>
                <a:ext uri="{FF2B5EF4-FFF2-40B4-BE49-F238E27FC236}">
                  <a16:creationId xmlns:a16="http://schemas.microsoft.com/office/drawing/2014/main" id="{00000000-0008-0000-0200-00002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38100</xdr:rowOff>
        </xdr:from>
        <xdr:to>
          <xdr:col>1</xdr:col>
          <xdr:colOff>984250</xdr:colOff>
          <xdr:row>52</xdr:row>
          <xdr:rowOff>190500</xdr:rowOff>
        </xdr:to>
        <xdr:sp macro="" textlink="">
          <xdr:nvSpPr>
            <xdr:cNvPr id="159791" name="Option Button 47" hidden="1">
              <a:extLst>
                <a:ext uri="{63B3BB69-23CF-44E3-9099-C40C66FF867C}">
                  <a14:compatExt spid="_x0000_s159791"/>
                </a:ext>
                <a:ext uri="{FF2B5EF4-FFF2-40B4-BE49-F238E27FC236}">
                  <a16:creationId xmlns:a16="http://schemas.microsoft.com/office/drawing/2014/main" id="{00000000-0008-0000-0200-00002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38100</xdr:rowOff>
        </xdr:from>
        <xdr:to>
          <xdr:col>1</xdr:col>
          <xdr:colOff>984250</xdr:colOff>
          <xdr:row>53</xdr:row>
          <xdr:rowOff>190500</xdr:rowOff>
        </xdr:to>
        <xdr:sp macro="" textlink="">
          <xdr:nvSpPr>
            <xdr:cNvPr id="159792" name="Option Button 48" hidden="1">
              <a:extLst>
                <a:ext uri="{63B3BB69-23CF-44E3-9099-C40C66FF867C}">
                  <a14:compatExt spid="_x0000_s159792"/>
                </a:ext>
                <a:ext uri="{FF2B5EF4-FFF2-40B4-BE49-F238E27FC236}">
                  <a16:creationId xmlns:a16="http://schemas.microsoft.com/office/drawing/2014/main" id="{00000000-0008-0000-0200-00003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38100</xdr:rowOff>
        </xdr:from>
        <xdr:to>
          <xdr:col>1</xdr:col>
          <xdr:colOff>984250</xdr:colOff>
          <xdr:row>54</xdr:row>
          <xdr:rowOff>190500</xdr:rowOff>
        </xdr:to>
        <xdr:sp macro="" textlink="">
          <xdr:nvSpPr>
            <xdr:cNvPr id="159793" name="Option Button 49" hidden="1">
              <a:extLst>
                <a:ext uri="{63B3BB69-23CF-44E3-9099-C40C66FF867C}">
                  <a14:compatExt spid="_x0000_s159793"/>
                </a:ext>
                <a:ext uri="{FF2B5EF4-FFF2-40B4-BE49-F238E27FC236}">
                  <a16:creationId xmlns:a16="http://schemas.microsoft.com/office/drawing/2014/main" id="{00000000-0008-0000-0200-00003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38100</xdr:rowOff>
        </xdr:from>
        <xdr:to>
          <xdr:col>1</xdr:col>
          <xdr:colOff>984250</xdr:colOff>
          <xdr:row>55</xdr:row>
          <xdr:rowOff>190500</xdr:rowOff>
        </xdr:to>
        <xdr:sp macro="" textlink="">
          <xdr:nvSpPr>
            <xdr:cNvPr id="159794" name="Option Button 50" hidden="1">
              <a:extLst>
                <a:ext uri="{63B3BB69-23CF-44E3-9099-C40C66FF867C}">
                  <a14:compatExt spid="_x0000_s159794"/>
                </a:ext>
                <a:ext uri="{FF2B5EF4-FFF2-40B4-BE49-F238E27FC236}">
                  <a16:creationId xmlns:a16="http://schemas.microsoft.com/office/drawing/2014/main" id="{00000000-0008-0000-0200-00003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38100</xdr:rowOff>
        </xdr:from>
        <xdr:to>
          <xdr:col>1</xdr:col>
          <xdr:colOff>984250</xdr:colOff>
          <xdr:row>56</xdr:row>
          <xdr:rowOff>190500</xdr:rowOff>
        </xdr:to>
        <xdr:sp macro="" textlink="">
          <xdr:nvSpPr>
            <xdr:cNvPr id="159795" name="Option Button 51" hidden="1">
              <a:extLst>
                <a:ext uri="{63B3BB69-23CF-44E3-9099-C40C66FF867C}">
                  <a14:compatExt spid="_x0000_s159795"/>
                </a:ext>
                <a:ext uri="{FF2B5EF4-FFF2-40B4-BE49-F238E27FC236}">
                  <a16:creationId xmlns:a16="http://schemas.microsoft.com/office/drawing/2014/main" id="{00000000-0008-0000-0200-00003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38100</xdr:rowOff>
        </xdr:from>
        <xdr:to>
          <xdr:col>1</xdr:col>
          <xdr:colOff>984250</xdr:colOff>
          <xdr:row>57</xdr:row>
          <xdr:rowOff>190500</xdr:rowOff>
        </xdr:to>
        <xdr:sp macro="" textlink="">
          <xdr:nvSpPr>
            <xdr:cNvPr id="159796" name="Option Button 52" hidden="1">
              <a:extLst>
                <a:ext uri="{63B3BB69-23CF-44E3-9099-C40C66FF867C}">
                  <a14:compatExt spid="_x0000_s159796"/>
                </a:ext>
                <a:ext uri="{FF2B5EF4-FFF2-40B4-BE49-F238E27FC236}">
                  <a16:creationId xmlns:a16="http://schemas.microsoft.com/office/drawing/2014/main" id="{00000000-0008-0000-0200-00003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38100</xdr:rowOff>
        </xdr:from>
        <xdr:to>
          <xdr:col>1</xdr:col>
          <xdr:colOff>984250</xdr:colOff>
          <xdr:row>58</xdr:row>
          <xdr:rowOff>190500</xdr:rowOff>
        </xdr:to>
        <xdr:sp macro="" textlink="">
          <xdr:nvSpPr>
            <xdr:cNvPr id="159797" name="Option Button 53" hidden="1">
              <a:extLst>
                <a:ext uri="{63B3BB69-23CF-44E3-9099-C40C66FF867C}">
                  <a14:compatExt spid="_x0000_s159797"/>
                </a:ext>
                <a:ext uri="{FF2B5EF4-FFF2-40B4-BE49-F238E27FC236}">
                  <a16:creationId xmlns:a16="http://schemas.microsoft.com/office/drawing/2014/main" id="{00000000-0008-0000-0200-00003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38100</xdr:rowOff>
        </xdr:from>
        <xdr:to>
          <xdr:col>1</xdr:col>
          <xdr:colOff>984250</xdr:colOff>
          <xdr:row>59</xdr:row>
          <xdr:rowOff>190500</xdr:rowOff>
        </xdr:to>
        <xdr:sp macro="" textlink="">
          <xdr:nvSpPr>
            <xdr:cNvPr id="159798" name="Option Button 54" hidden="1">
              <a:extLst>
                <a:ext uri="{63B3BB69-23CF-44E3-9099-C40C66FF867C}">
                  <a14:compatExt spid="_x0000_s159798"/>
                </a:ext>
                <a:ext uri="{FF2B5EF4-FFF2-40B4-BE49-F238E27FC236}">
                  <a16:creationId xmlns:a16="http://schemas.microsoft.com/office/drawing/2014/main" id="{00000000-0008-0000-0200-00003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38100</xdr:rowOff>
        </xdr:from>
        <xdr:to>
          <xdr:col>1</xdr:col>
          <xdr:colOff>984250</xdr:colOff>
          <xdr:row>60</xdr:row>
          <xdr:rowOff>190500</xdr:rowOff>
        </xdr:to>
        <xdr:sp macro="" textlink="">
          <xdr:nvSpPr>
            <xdr:cNvPr id="159799" name="Option Button 55" hidden="1">
              <a:extLst>
                <a:ext uri="{63B3BB69-23CF-44E3-9099-C40C66FF867C}">
                  <a14:compatExt spid="_x0000_s159799"/>
                </a:ext>
                <a:ext uri="{FF2B5EF4-FFF2-40B4-BE49-F238E27FC236}">
                  <a16:creationId xmlns:a16="http://schemas.microsoft.com/office/drawing/2014/main" id="{00000000-0008-0000-0200-00003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38100</xdr:rowOff>
        </xdr:from>
        <xdr:to>
          <xdr:col>1</xdr:col>
          <xdr:colOff>984250</xdr:colOff>
          <xdr:row>61</xdr:row>
          <xdr:rowOff>190500</xdr:rowOff>
        </xdr:to>
        <xdr:sp macro="" textlink="">
          <xdr:nvSpPr>
            <xdr:cNvPr id="159800" name="Option Button 56" hidden="1">
              <a:extLst>
                <a:ext uri="{63B3BB69-23CF-44E3-9099-C40C66FF867C}">
                  <a14:compatExt spid="_x0000_s159800"/>
                </a:ext>
                <a:ext uri="{FF2B5EF4-FFF2-40B4-BE49-F238E27FC236}">
                  <a16:creationId xmlns:a16="http://schemas.microsoft.com/office/drawing/2014/main" id="{00000000-0008-0000-0200-00003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38100</xdr:rowOff>
        </xdr:from>
        <xdr:to>
          <xdr:col>1</xdr:col>
          <xdr:colOff>984250</xdr:colOff>
          <xdr:row>62</xdr:row>
          <xdr:rowOff>190500</xdr:rowOff>
        </xdr:to>
        <xdr:sp macro="" textlink="">
          <xdr:nvSpPr>
            <xdr:cNvPr id="159801" name="Option Button 57" hidden="1">
              <a:extLst>
                <a:ext uri="{63B3BB69-23CF-44E3-9099-C40C66FF867C}">
                  <a14:compatExt spid="_x0000_s159801"/>
                </a:ext>
                <a:ext uri="{FF2B5EF4-FFF2-40B4-BE49-F238E27FC236}">
                  <a16:creationId xmlns:a16="http://schemas.microsoft.com/office/drawing/2014/main" id="{00000000-0008-0000-0200-00003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38100</xdr:rowOff>
        </xdr:from>
        <xdr:to>
          <xdr:col>1</xdr:col>
          <xdr:colOff>984250</xdr:colOff>
          <xdr:row>63</xdr:row>
          <xdr:rowOff>190500</xdr:rowOff>
        </xdr:to>
        <xdr:sp macro="" textlink="">
          <xdr:nvSpPr>
            <xdr:cNvPr id="159802" name="Option Button 58" hidden="1">
              <a:extLst>
                <a:ext uri="{63B3BB69-23CF-44E3-9099-C40C66FF867C}">
                  <a14:compatExt spid="_x0000_s159802"/>
                </a:ext>
                <a:ext uri="{FF2B5EF4-FFF2-40B4-BE49-F238E27FC236}">
                  <a16:creationId xmlns:a16="http://schemas.microsoft.com/office/drawing/2014/main" id="{00000000-0008-0000-0200-00003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317500</xdr:rowOff>
        </xdr:from>
        <xdr:to>
          <xdr:col>1</xdr:col>
          <xdr:colOff>984250</xdr:colOff>
          <xdr:row>64</xdr:row>
          <xdr:rowOff>469900</xdr:rowOff>
        </xdr:to>
        <xdr:sp macro="" textlink="">
          <xdr:nvSpPr>
            <xdr:cNvPr id="159803" name="Option Button 59" hidden="1">
              <a:extLst>
                <a:ext uri="{63B3BB69-23CF-44E3-9099-C40C66FF867C}">
                  <a14:compatExt spid="_x0000_s159803"/>
                </a:ext>
                <a:ext uri="{FF2B5EF4-FFF2-40B4-BE49-F238E27FC236}">
                  <a16:creationId xmlns:a16="http://schemas.microsoft.com/office/drawing/2014/main" id="{00000000-0008-0000-0200-00003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38100</xdr:rowOff>
        </xdr:from>
        <xdr:to>
          <xdr:col>1</xdr:col>
          <xdr:colOff>984250</xdr:colOff>
          <xdr:row>65</xdr:row>
          <xdr:rowOff>190500</xdr:rowOff>
        </xdr:to>
        <xdr:sp macro="" textlink="">
          <xdr:nvSpPr>
            <xdr:cNvPr id="159804" name="Option Button 60" hidden="1">
              <a:extLst>
                <a:ext uri="{63B3BB69-23CF-44E3-9099-C40C66FF867C}">
                  <a14:compatExt spid="_x0000_s159804"/>
                </a:ext>
                <a:ext uri="{FF2B5EF4-FFF2-40B4-BE49-F238E27FC236}">
                  <a16:creationId xmlns:a16="http://schemas.microsoft.com/office/drawing/2014/main" id="{00000000-0008-0000-0200-00003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38100</xdr:rowOff>
        </xdr:from>
        <xdr:to>
          <xdr:col>1</xdr:col>
          <xdr:colOff>984250</xdr:colOff>
          <xdr:row>66</xdr:row>
          <xdr:rowOff>190500</xdr:rowOff>
        </xdr:to>
        <xdr:sp macro="" textlink="">
          <xdr:nvSpPr>
            <xdr:cNvPr id="159805" name="Option Button 61" hidden="1">
              <a:extLst>
                <a:ext uri="{63B3BB69-23CF-44E3-9099-C40C66FF867C}">
                  <a14:compatExt spid="_x0000_s159805"/>
                </a:ext>
                <a:ext uri="{FF2B5EF4-FFF2-40B4-BE49-F238E27FC236}">
                  <a16:creationId xmlns:a16="http://schemas.microsoft.com/office/drawing/2014/main" id="{00000000-0008-0000-0200-00003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38100</xdr:rowOff>
        </xdr:from>
        <xdr:to>
          <xdr:col>1</xdr:col>
          <xdr:colOff>984250</xdr:colOff>
          <xdr:row>67</xdr:row>
          <xdr:rowOff>190500</xdr:rowOff>
        </xdr:to>
        <xdr:sp macro="" textlink="">
          <xdr:nvSpPr>
            <xdr:cNvPr id="159806" name="Option Button 62" hidden="1">
              <a:extLst>
                <a:ext uri="{63B3BB69-23CF-44E3-9099-C40C66FF867C}">
                  <a14:compatExt spid="_x0000_s159806"/>
                </a:ext>
                <a:ext uri="{FF2B5EF4-FFF2-40B4-BE49-F238E27FC236}">
                  <a16:creationId xmlns:a16="http://schemas.microsoft.com/office/drawing/2014/main" id="{00000000-0008-0000-0200-00003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38100</xdr:rowOff>
        </xdr:from>
        <xdr:to>
          <xdr:col>1</xdr:col>
          <xdr:colOff>984250</xdr:colOff>
          <xdr:row>68</xdr:row>
          <xdr:rowOff>190500</xdr:rowOff>
        </xdr:to>
        <xdr:sp macro="" textlink="">
          <xdr:nvSpPr>
            <xdr:cNvPr id="159807" name="Option Button 63" hidden="1">
              <a:extLst>
                <a:ext uri="{63B3BB69-23CF-44E3-9099-C40C66FF867C}">
                  <a14:compatExt spid="_x0000_s159807"/>
                </a:ext>
                <a:ext uri="{FF2B5EF4-FFF2-40B4-BE49-F238E27FC236}">
                  <a16:creationId xmlns:a16="http://schemas.microsoft.com/office/drawing/2014/main" id="{00000000-0008-0000-0200-00003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38100</xdr:rowOff>
        </xdr:from>
        <xdr:to>
          <xdr:col>1</xdr:col>
          <xdr:colOff>984250</xdr:colOff>
          <xdr:row>69</xdr:row>
          <xdr:rowOff>190500</xdr:rowOff>
        </xdr:to>
        <xdr:sp macro="" textlink="">
          <xdr:nvSpPr>
            <xdr:cNvPr id="159808" name="Option Button 64" hidden="1">
              <a:extLst>
                <a:ext uri="{63B3BB69-23CF-44E3-9099-C40C66FF867C}">
                  <a14:compatExt spid="_x0000_s159808"/>
                </a:ext>
                <a:ext uri="{FF2B5EF4-FFF2-40B4-BE49-F238E27FC236}">
                  <a16:creationId xmlns:a16="http://schemas.microsoft.com/office/drawing/2014/main" id="{00000000-0008-0000-0200-00004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38100</xdr:rowOff>
        </xdr:from>
        <xdr:to>
          <xdr:col>1</xdr:col>
          <xdr:colOff>984250</xdr:colOff>
          <xdr:row>70</xdr:row>
          <xdr:rowOff>190500</xdr:rowOff>
        </xdr:to>
        <xdr:sp macro="" textlink="">
          <xdr:nvSpPr>
            <xdr:cNvPr id="159809" name="Option Button 65" hidden="1">
              <a:extLst>
                <a:ext uri="{63B3BB69-23CF-44E3-9099-C40C66FF867C}">
                  <a14:compatExt spid="_x0000_s159809"/>
                </a:ext>
                <a:ext uri="{FF2B5EF4-FFF2-40B4-BE49-F238E27FC236}">
                  <a16:creationId xmlns:a16="http://schemas.microsoft.com/office/drawing/2014/main" id="{00000000-0008-0000-0200-00004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38100</xdr:rowOff>
        </xdr:from>
        <xdr:to>
          <xdr:col>1</xdr:col>
          <xdr:colOff>984250</xdr:colOff>
          <xdr:row>71</xdr:row>
          <xdr:rowOff>190500</xdr:rowOff>
        </xdr:to>
        <xdr:sp macro="" textlink="">
          <xdr:nvSpPr>
            <xdr:cNvPr id="159810" name="Option Button 66" hidden="1">
              <a:extLst>
                <a:ext uri="{63B3BB69-23CF-44E3-9099-C40C66FF867C}">
                  <a14:compatExt spid="_x0000_s159810"/>
                </a:ext>
                <a:ext uri="{FF2B5EF4-FFF2-40B4-BE49-F238E27FC236}">
                  <a16:creationId xmlns:a16="http://schemas.microsoft.com/office/drawing/2014/main" id="{00000000-0008-0000-0200-00004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38100</xdr:rowOff>
        </xdr:from>
        <xdr:to>
          <xdr:col>1</xdr:col>
          <xdr:colOff>984250</xdr:colOff>
          <xdr:row>72</xdr:row>
          <xdr:rowOff>190500</xdr:rowOff>
        </xdr:to>
        <xdr:sp macro="" textlink="">
          <xdr:nvSpPr>
            <xdr:cNvPr id="159811" name="Option Button 67" hidden="1">
              <a:extLst>
                <a:ext uri="{63B3BB69-23CF-44E3-9099-C40C66FF867C}">
                  <a14:compatExt spid="_x0000_s159811"/>
                </a:ext>
                <a:ext uri="{FF2B5EF4-FFF2-40B4-BE49-F238E27FC236}">
                  <a16:creationId xmlns:a16="http://schemas.microsoft.com/office/drawing/2014/main" id="{00000000-0008-0000-0200-00004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38100</xdr:rowOff>
        </xdr:from>
        <xdr:to>
          <xdr:col>1</xdr:col>
          <xdr:colOff>984250</xdr:colOff>
          <xdr:row>73</xdr:row>
          <xdr:rowOff>190500</xdr:rowOff>
        </xdr:to>
        <xdr:sp macro="" textlink="">
          <xdr:nvSpPr>
            <xdr:cNvPr id="159812" name="Option Button 68" hidden="1">
              <a:extLst>
                <a:ext uri="{63B3BB69-23CF-44E3-9099-C40C66FF867C}">
                  <a14:compatExt spid="_x0000_s159812"/>
                </a:ext>
                <a:ext uri="{FF2B5EF4-FFF2-40B4-BE49-F238E27FC236}">
                  <a16:creationId xmlns:a16="http://schemas.microsoft.com/office/drawing/2014/main" id="{00000000-0008-0000-0200-00004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38100</xdr:rowOff>
        </xdr:from>
        <xdr:to>
          <xdr:col>1</xdr:col>
          <xdr:colOff>984250</xdr:colOff>
          <xdr:row>74</xdr:row>
          <xdr:rowOff>190500</xdr:rowOff>
        </xdr:to>
        <xdr:sp macro="" textlink="">
          <xdr:nvSpPr>
            <xdr:cNvPr id="159813" name="Option Button 69" hidden="1">
              <a:extLst>
                <a:ext uri="{63B3BB69-23CF-44E3-9099-C40C66FF867C}">
                  <a14:compatExt spid="_x0000_s159813"/>
                </a:ext>
                <a:ext uri="{FF2B5EF4-FFF2-40B4-BE49-F238E27FC236}">
                  <a16:creationId xmlns:a16="http://schemas.microsoft.com/office/drawing/2014/main" id="{00000000-0008-0000-0200-00004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38100</xdr:rowOff>
        </xdr:from>
        <xdr:to>
          <xdr:col>1</xdr:col>
          <xdr:colOff>984250</xdr:colOff>
          <xdr:row>75</xdr:row>
          <xdr:rowOff>190500</xdr:rowOff>
        </xdr:to>
        <xdr:sp macro="" textlink="">
          <xdr:nvSpPr>
            <xdr:cNvPr id="159814" name="Option Button 70" hidden="1">
              <a:extLst>
                <a:ext uri="{63B3BB69-23CF-44E3-9099-C40C66FF867C}">
                  <a14:compatExt spid="_x0000_s159814"/>
                </a:ext>
                <a:ext uri="{FF2B5EF4-FFF2-40B4-BE49-F238E27FC236}">
                  <a16:creationId xmlns:a16="http://schemas.microsoft.com/office/drawing/2014/main" id="{00000000-0008-0000-0200-00004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38100</xdr:rowOff>
        </xdr:from>
        <xdr:to>
          <xdr:col>1</xdr:col>
          <xdr:colOff>984250</xdr:colOff>
          <xdr:row>76</xdr:row>
          <xdr:rowOff>190500</xdr:rowOff>
        </xdr:to>
        <xdr:sp macro="" textlink="">
          <xdr:nvSpPr>
            <xdr:cNvPr id="159815" name="Option Button 71" hidden="1">
              <a:extLst>
                <a:ext uri="{63B3BB69-23CF-44E3-9099-C40C66FF867C}">
                  <a14:compatExt spid="_x0000_s159815"/>
                </a:ext>
                <a:ext uri="{FF2B5EF4-FFF2-40B4-BE49-F238E27FC236}">
                  <a16:creationId xmlns:a16="http://schemas.microsoft.com/office/drawing/2014/main" id="{00000000-0008-0000-0200-00004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38100</xdr:rowOff>
        </xdr:from>
        <xdr:to>
          <xdr:col>1</xdr:col>
          <xdr:colOff>984250</xdr:colOff>
          <xdr:row>77</xdr:row>
          <xdr:rowOff>190500</xdr:rowOff>
        </xdr:to>
        <xdr:sp macro="" textlink="">
          <xdr:nvSpPr>
            <xdr:cNvPr id="159816" name="Option Button 72" hidden="1">
              <a:extLst>
                <a:ext uri="{63B3BB69-23CF-44E3-9099-C40C66FF867C}">
                  <a14:compatExt spid="_x0000_s159816"/>
                </a:ext>
                <a:ext uri="{FF2B5EF4-FFF2-40B4-BE49-F238E27FC236}">
                  <a16:creationId xmlns:a16="http://schemas.microsoft.com/office/drawing/2014/main" id="{00000000-0008-0000-0200-00004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38100</xdr:rowOff>
        </xdr:from>
        <xdr:to>
          <xdr:col>1</xdr:col>
          <xdr:colOff>984250</xdr:colOff>
          <xdr:row>78</xdr:row>
          <xdr:rowOff>190500</xdr:rowOff>
        </xdr:to>
        <xdr:sp macro="" textlink="">
          <xdr:nvSpPr>
            <xdr:cNvPr id="159817" name="Option Button 73" hidden="1">
              <a:extLst>
                <a:ext uri="{63B3BB69-23CF-44E3-9099-C40C66FF867C}">
                  <a14:compatExt spid="_x0000_s159817"/>
                </a:ext>
                <a:ext uri="{FF2B5EF4-FFF2-40B4-BE49-F238E27FC236}">
                  <a16:creationId xmlns:a16="http://schemas.microsoft.com/office/drawing/2014/main" id="{00000000-0008-0000-0200-00004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38100</xdr:rowOff>
        </xdr:from>
        <xdr:to>
          <xdr:col>1</xdr:col>
          <xdr:colOff>984250</xdr:colOff>
          <xdr:row>79</xdr:row>
          <xdr:rowOff>190500</xdr:rowOff>
        </xdr:to>
        <xdr:sp macro="" textlink="">
          <xdr:nvSpPr>
            <xdr:cNvPr id="159818" name="Option Button 74" hidden="1">
              <a:extLst>
                <a:ext uri="{63B3BB69-23CF-44E3-9099-C40C66FF867C}">
                  <a14:compatExt spid="_x0000_s159818"/>
                </a:ext>
                <a:ext uri="{FF2B5EF4-FFF2-40B4-BE49-F238E27FC236}">
                  <a16:creationId xmlns:a16="http://schemas.microsoft.com/office/drawing/2014/main" id="{00000000-0008-0000-0200-00004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38100</xdr:rowOff>
        </xdr:from>
        <xdr:to>
          <xdr:col>1</xdr:col>
          <xdr:colOff>984250</xdr:colOff>
          <xdr:row>80</xdr:row>
          <xdr:rowOff>190500</xdr:rowOff>
        </xdr:to>
        <xdr:sp macro="" textlink="">
          <xdr:nvSpPr>
            <xdr:cNvPr id="159819" name="Option Button 75" hidden="1">
              <a:extLst>
                <a:ext uri="{63B3BB69-23CF-44E3-9099-C40C66FF867C}">
                  <a14:compatExt spid="_x0000_s159819"/>
                </a:ext>
                <a:ext uri="{FF2B5EF4-FFF2-40B4-BE49-F238E27FC236}">
                  <a16:creationId xmlns:a16="http://schemas.microsoft.com/office/drawing/2014/main" id="{00000000-0008-0000-0200-00004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38100</xdr:rowOff>
        </xdr:from>
        <xdr:to>
          <xdr:col>1</xdr:col>
          <xdr:colOff>984250</xdr:colOff>
          <xdr:row>81</xdr:row>
          <xdr:rowOff>190500</xdr:rowOff>
        </xdr:to>
        <xdr:sp macro="" textlink="">
          <xdr:nvSpPr>
            <xdr:cNvPr id="159820" name="Option Button 76" hidden="1">
              <a:extLst>
                <a:ext uri="{63B3BB69-23CF-44E3-9099-C40C66FF867C}">
                  <a14:compatExt spid="_x0000_s159820"/>
                </a:ext>
                <a:ext uri="{FF2B5EF4-FFF2-40B4-BE49-F238E27FC236}">
                  <a16:creationId xmlns:a16="http://schemas.microsoft.com/office/drawing/2014/main" id="{00000000-0008-0000-0200-00004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38100</xdr:rowOff>
        </xdr:from>
        <xdr:to>
          <xdr:col>1</xdr:col>
          <xdr:colOff>984250</xdr:colOff>
          <xdr:row>82</xdr:row>
          <xdr:rowOff>190500</xdr:rowOff>
        </xdr:to>
        <xdr:sp macro="" textlink="">
          <xdr:nvSpPr>
            <xdr:cNvPr id="159821" name="Option Button 77" hidden="1">
              <a:extLst>
                <a:ext uri="{63B3BB69-23CF-44E3-9099-C40C66FF867C}">
                  <a14:compatExt spid="_x0000_s159821"/>
                </a:ext>
                <a:ext uri="{FF2B5EF4-FFF2-40B4-BE49-F238E27FC236}">
                  <a16:creationId xmlns:a16="http://schemas.microsoft.com/office/drawing/2014/main" id="{00000000-0008-0000-0200-00004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38100</xdr:rowOff>
        </xdr:from>
        <xdr:to>
          <xdr:col>1</xdr:col>
          <xdr:colOff>984250</xdr:colOff>
          <xdr:row>83</xdr:row>
          <xdr:rowOff>190500</xdr:rowOff>
        </xdr:to>
        <xdr:sp macro="" textlink="">
          <xdr:nvSpPr>
            <xdr:cNvPr id="159822" name="Option Button 78" hidden="1">
              <a:extLst>
                <a:ext uri="{63B3BB69-23CF-44E3-9099-C40C66FF867C}">
                  <a14:compatExt spid="_x0000_s159822"/>
                </a:ext>
                <a:ext uri="{FF2B5EF4-FFF2-40B4-BE49-F238E27FC236}">
                  <a16:creationId xmlns:a16="http://schemas.microsoft.com/office/drawing/2014/main" id="{00000000-0008-0000-0200-00004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38100</xdr:rowOff>
        </xdr:from>
        <xdr:to>
          <xdr:col>1</xdr:col>
          <xdr:colOff>984250</xdr:colOff>
          <xdr:row>84</xdr:row>
          <xdr:rowOff>190500</xdr:rowOff>
        </xdr:to>
        <xdr:sp macro="" textlink="">
          <xdr:nvSpPr>
            <xdr:cNvPr id="159823" name="Option Button 79" hidden="1">
              <a:extLst>
                <a:ext uri="{63B3BB69-23CF-44E3-9099-C40C66FF867C}">
                  <a14:compatExt spid="_x0000_s159823"/>
                </a:ext>
                <a:ext uri="{FF2B5EF4-FFF2-40B4-BE49-F238E27FC236}">
                  <a16:creationId xmlns:a16="http://schemas.microsoft.com/office/drawing/2014/main" id="{00000000-0008-0000-0200-00004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38100</xdr:rowOff>
        </xdr:from>
        <xdr:to>
          <xdr:col>1</xdr:col>
          <xdr:colOff>984250</xdr:colOff>
          <xdr:row>85</xdr:row>
          <xdr:rowOff>190500</xdr:rowOff>
        </xdr:to>
        <xdr:sp macro="" textlink="">
          <xdr:nvSpPr>
            <xdr:cNvPr id="159824" name="Option Button 80" hidden="1">
              <a:extLst>
                <a:ext uri="{63B3BB69-23CF-44E3-9099-C40C66FF867C}">
                  <a14:compatExt spid="_x0000_s159824"/>
                </a:ext>
                <a:ext uri="{FF2B5EF4-FFF2-40B4-BE49-F238E27FC236}">
                  <a16:creationId xmlns:a16="http://schemas.microsoft.com/office/drawing/2014/main" id="{00000000-0008-0000-0200-00005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38100</xdr:rowOff>
        </xdr:from>
        <xdr:to>
          <xdr:col>1</xdr:col>
          <xdr:colOff>984250</xdr:colOff>
          <xdr:row>86</xdr:row>
          <xdr:rowOff>190500</xdr:rowOff>
        </xdr:to>
        <xdr:sp macro="" textlink="">
          <xdr:nvSpPr>
            <xdr:cNvPr id="159825" name="Option Button 81" hidden="1">
              <a:extLst>
                <a:ext uri="{63B3BB69-23CF-44E3-9099-C40C66FF867C}">
                  <a14:compatExt spid="_x0000_s159825"/>
                </a:ext>
                <a:ext uri="{FF2B5EF4-FFF2-40B4-BE49-F238E27FC236}">
                  <a16:creationId xmlns:a16="http://schemas.microsoft.com/office/drawing/2014/main" id="{00000000-0008-0000-0200-00005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38100</xdr:rowOff>
        </xdr:from>
        <xdr:to>
          <xdr:col>1</xdr:col>
          <xdr:colOff>984250</xdr:colOff>
          <xdr:row>87</xdr:row>
          <xdr:rowOff>190500</xdr:rowOff>
        </xdr:to>
        <xdr:sp macro="" textlink="">
          <xdr:nvSpPr>
            <xdr:cNvPr id="159826" name="Option Button 82" hidden="1">
              <a:extLst>
                <a:ext uri="{63B3BB69-23CF-44E3-9099-C40C66FF867C}">
                  <a14:compatExt spid="_x0000_s159826"/>
                </a:ext>
                <a:ext uri="{FF2B5EF4-FFF2-40B4-BE49-F238E27FC236}">
                  <a16:creationId xmlns:a16="http://schemas.microsoft.com/office/drawing/2014/main" id="{00000000-0008-0000-0200-00005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38100</xdr:rowOff>
        </xdr:from>
        <xdr:to>
          <xdr:col>1</xdr:col>
          <xdr:colOff>984250</xdr:colOff>
          <xdr:row>88</xdr:row>
          <xdr:rowOff>190500</xdr:rowOff>
        </xdr:to>
        <xdr:sp macro="" textlink="">
          <xdr:nvSpPr>
            <xdr:cNvPr id="159827" name="Option Button 83" hidden="1">
              <a:extLst>
                <a:ext uri="{63B3BB69-23CF-44E3-9099-C40C66FF867C}">
                  <a14:compatExt spid="_x0000_s159827"/>
                </a:ext>
                <a:ext uri="{FF2B5EF4-FFF2-40B4-BE49-F238E27FC236}">
                  <a16:creationId xmlns:a16="http://schemas.microsoft.com/office/drawing/2014/main" id="{00000000-0008-0000-0200-00005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38100</xdr:rowOff>
        </xdr:from>
        <xdr:to>
          <xdr:col>1</xdr:col>
          <xdr:colOff>984250</xdr:colOff>
          <xdr:row>89</xdr:row>
          <xdr:rowOff>190500</xdr:rowOff>
        </xdr:to>
        <xdr:sp macro="" textlink="">
          <xdr:nvSpPr>
            <xdr:cNvPr id="159828" name="Option Button 84" hidden="1">
              <a:extLst>
                <a:ext uri="{63B3BB69-23CF-44E3-9099-C40C66FF867C}">
                  <a14:compatExt spid="_x0000_s159828"/>
                </a:ext>
                <a:ext uri="{FF2B5EF4-FFF2-40B4-BE49-F238E27FC236}">
                  <a16:creationId xmlns:a16="http://schemas.microsoft.com/office/drawing/2014/main" id="{00000000-0008-0000-0200-00005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38100</xdr:rowOff>
        </xdr:from>
        <xdr:to>
          <xdr:col>1</xdr:col>
          <xdr:colOff>984250</xdr:colOff>
          <xdr:row>90</xdr:row>
          <xdr:rowOff>190500</xdr:rowOff>
        </xdr:to>
        <xdr:sp macro="" textlink="">
          <xdr:nvSpPr>
            <xdr:cNvPr id="159829" name="Option Button 85" hidden="1">
              <a:extLst>
                <a:ext uri="{63B3BB69-23CF-44E3-9099-C40C66FF867C}">
                  <a14:compatExt spid="_x0000_s159829"/>
                </a:ext>
                <a:ext uri="{FF2B5EF4-FFF2-40B4-BE49-F238E27FC236}">
                  <a16:creationId xmlns:a16="http://schemas.microsoft.com/office/drawing/2014/main" id="{00000000-0008-0000-0200-00005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38100</xdr:rowOff>
        </xdr:from>
        <xdr:to>
          <xdr:col>1</xdr:col>
          <xdr:colOff>984250</xdr:colOff>
          <xdr:row>91</xdr:row>
          <xdr:rowOff>190500</xdr:rowOff>
        </xdr:to>
        <xdr:sp macro="" textlink="">
          <xdr:nvSpPr>
            <xdr:cNvPr id="159830" name="Option Button 86" hidden="1">
              <a:extLst>
                <a:ext uri="{63B3BB69-23CF-44E3-9099-C40C66FF867C}">
                  <a14:compatExt spid="_x0000_s159830"/>
                </a:ext>
                <a:ext uri="{FF2B5EF4-FFF2-40B4-BE49-F238E27FC236}">
                  <a16:creationId xmlns:a16="http://schemas.microsoft.com/office/drawing/2014/main" id="{00000000-0008-0000-0200-00005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38100</xdr:rowOff>
        </xdr:from>
        <xdr:to>
          <xdr:col>1</xdr:col>
          <xdr:colOff>984250</xdr:colOff>
          <xdr:row>92</xdr:row>
          <xdr:rowOff>190500</xdr:rowOff>
        </xdr:to>
        <xdr:sp macro="" textlink="">
          <xdr:nvSpPr>
            <xdr:cNvPr id="159831" name="Option Button 87" hidden="1">
              <a:extLst>
                <a:ext uri="{63B3BB69-23CF-44E3-9099-C40C66FF867C}">
                  <a14:compatExt spid="_x0000_s159831"/>
                </a:ext>
                <a:ext uri="{FF2B5EF4-FFF2-40B4-BE49-F238E27FC236}">
                  <a16:creationId xmlns:a16="http://schemas.microsoft.com/office/drawing/2014/main" id="{00000000-0008-0000-0200-00005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38100</xdr:rowOff>
        </xdr:from>
        <xdr:to>
          <xdr:col>1</xdr:col>
          <xdr:colOff>984250</xdr:colOff>
          <xdr:row>93</xdr:row>
          <xdr:rowOff>190500</xdr:rowOff>
        </xdr:to>
        <xdr:sp macro="" textlink="">
          <xdr:nvSpPr>
            <xdr:cNvPr id="159832" name="Option Button 88" hidden="1">
              <a:extLst>
                <a:ext uri="{63B3BB69-23CF-44E3-9099-C40C66FF867C}">
                  <a14:compatExt spid="_x0000_s159832"/>
                </a:ext>
                <a:ext uri="{FF2B5EF4-FFF2-40B4-BE49-F238E27FC236}">
                  <a16:creationId xmlns:a16="http://schemas.microsoft.com/office/drawing/2014/main" id="{00000000-0008-0000-0200-00005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38100</xdr:rowOff>
        </xdr:from>
        <xdr:to>
          <xdr:col>1</xdr:col>
          <xdr:colOff>984250</xdr:colOff>
          <xdr:row>94</xdr:row>
          <xdr:rowOff>190500</xdr:rowOff>
        </xdr:to>
        <xdr:sp macro="" textlink="">
          <xdr:nvSpPr>
            <xdr:cNvPr id="159833" name="Option Button 89" hidden="1">
              <a:extLst>
                <a:ext uri="{63B3BB69-23CF-44E3-9099-C40C66FF867C}">
                  <a14:compatExt spid="_x0000_s159833"/>
                </a:ext>
                <a:ext uri="{FF2B5EF4-FFF2-40B4-BE49-F238E27FC236}">
                  <a16:creationId xmlns:a16="http://schemas.microsoft.com/office/drawing/2014/main" id="{00000000-0008-0000-0200-00005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38100</xdr:rowOff>
        </xdr:from>
        <xdr:to>
          <xdr:col>1</xdr:col>
          <xdr:colOff>984250</xdr:colOff>
          <xdr:row>95</xdr:row>
          <xdr:rowOff>190500</xdr:rowOff>
        </xdr:to>
        <xdr:sp macro="" textlink="">
          <xdr:nvSpPr>
            <xdr:cNvPr id="159834" name="Option Button 90" hidden="1">
              <a:extLst>
                <a:ext uri="{63B3BB69-23CF-44E3-9099-C40C66FF867C}">
                  <a14:compatExt spid="_x0000_s159834"/>
                </a:ext>
                <a:ext uri="{FF2B5EF4-FFF2-40B4-BE49-F238E27FC236}">
                  <a16:creationId xmlns:a16="http://schemas.microsoft.com/office/drawing/2014/main" id="{00000000-0008-0000-0200-00005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1826563</xdr:colOff>
      <xdr:row>0</xdr:row>
      <xdr:rowOff>89648</xdr:rowOff>
    </xdr:from>
    <xdr:to>
      <xdr:col>3</xdr:col>
      <xdr:colOff>3944474</xdr:colOff>
      <xdr:row>2</xdr:row>
      <xdr:rowOff>6165</xdr:rowOff>
    </xdr:to>
    <xdr:sp macro="" textlink="">
      <xdr:nvSpPr>
        <xdr:cNvPr id="92" name="角丸四角形吹き出し 91">
          <a:extLst>
            <a:ext uri="{FF2B5EF4-FFF2-40B4-BE49-F238E27FC236}">
              <a16:creationId xmlns:a16="http://schemas.microsoft.com/office/drawing/2014/main" id="{00000000-0008-0000-0200-00005C000000}"/>
            </a:ext>
          </a:extLst>
        </xdr:cNvPr>
        <xdr:cNvSpPr/>
      </xdr:nvSpPr>
      <xdr:spPr>
        <a:xfrm>
          <a:off x="3226738" y="89648"/>
          <a:ext cx="4451536" cy="478492"/>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JCB</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QUICPay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336182</xdr:colOff>
      <xdr:row>4</xdr:row>
      <xdr:rowOff>11212</xdr:rowOff>
    </xdr:from>
    <xdr:to>
      <xdr:col>3</xdr:col>
      <xdr:colOff>1826557</xdr:colOff>
      <xdr:row>5</xdr:row>
      <xdr:rowOff>286317</xdr:rowOff>
    </xdr:to>
    <xdr:sp macro="" textlink="">
      <xdr:nvSpPr>
        <xdr:cNvPr id="93" name="角丸四角形吹き出し 92">
          <a:extLst>
            <a:ext uri="{FF2B5EF4-FFF2-40B4-BE49-F238E27FC236}">
              <a16:creationId xmlns:a16="http://schemas.microsoft.com/office/drawing/2014/main" id="{00000000-0008-0000-0200-00005D000000}"/>
            </a:ext>
          </a:extLst>
        </xdr:cNvPr>
        <xdr:cNvSpPr/>
      </xdr:nvSpPr>
      <xdr:spPr>
        <a:xfrm>
          <a:off x="1736357" y="973237"/>
          <a:ext cx="3824000" cy="475130"/>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44827</xdr:colOff>
      <xdr:row>4</xdr:row>
      <xdr:rowOff>168084</xdr:rowOff>
    </xdr:from>
    <xdr:to>
      <xdr:col>1</xdr:col>
      <xdr:colOff>1053357</xdr:colOff>
      <xdr:row>96</xdr:row>
      <xdr:rowOff>44823</xdr:rowOff>
    </xdr:to>
    <xdr:sp macro="" textlink="">
      <xdr:nvSpPr>
        <xdr:cNvPr id="94" name="角丸四角形 93">
          <a:extLst>
            <a:ext uri="{FF2B5EF4-FFF2-40B4-BE49-F238E27FC236}">
              <a16:creationId xmlns:a16="http://schemas.microsoft.com/office/drawing/2014/main" id="{00000000-0008-0000-0200-00005E000000}"/>
            </a:ext>
          </a:extLst>
        </xdr:cNvPr>
        <xdr:cNvSpPr/>
      </xdr:nvSpPr>
      <xdr:spPr>
        <a:xfrm>
          <a:off x="330577" y="1130109"/>
          <a:ext cx="1008530" cy="1992686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12700</xdr:rowOff>
        </xdr:from>
        <xdr:to>
          <xdr:col>1</xdr:col>
          <xdr:colOff>914400</xdr:colOff>
          <xdr:row>6</xdr:row>
          <xdr:rowOff>203200</xdr:rowOff>
        </xdr:to>
        <xdr:sp macro="" textlink="">
          <xdr:nvSpPr>
            <xdr:cNvPr id="106497" name="Option Button 1" hidden="1">
              <a:extLst>
                <a:ext uri="{63B3BB69-23CF-44E3-9099-C40C66FF867C}">
                  <a14:compatExt spid="_x0000_s106497"/>
                </a:ext>
                <a:ext uri="{FF2B5EF4-FFF2-40B4-BE49-F238E27FC236}">
                  <a16:creationId xmlns:a16="http://schemas.microsoft.com/office/drawing/2014/main" id="{00000000-0008-0000-03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12700</xdr:rowOff>
        </xdr:from>
        <xdr:to>
          <xdr:col>1</xdr:col>
          <xdr:colOff>914400</xdr:colOff>
          <xdr:row>7</xdr:row>
          <xdr:rowOff>203200</xdr:rowOff>
        </xdr:to>
        <xdr:sp macro="" textlink="">
          <xdr:nvSpPr>
            <xdr:cNvPr id="106498" name="Option Button 2" hidden="1">
              <a:extLst>
                <a:ext uri="{63B3BB69-23CF-44E3-9099-C40C66FF867C}">
                  <a14:compatExt spid="_x0000_s106498"/>
                </a:ext>
                <a:ext uri="{FF2B5EF4-FFF2-40B4-BE49-F238E27FC236}">
                  <a16:creationId xmlns:a16="http://schemas.microsoft.com/office/drawing/2014/main" id="{00000000-0008-0000-03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12700</xdr:rowOff>
        </xdr:from>
        <xdr:to>
          <xdr:col>1</xdr:col>
          <xdr:colOff>914400</xdr:colOff>
          <xdr:row>8</xdr:row>
          <xdr:rowOff>203200</xdr:rowOff>
        </xdr:to>
        <xdr:sp macro="" textlink="">
          <xdr:nvSpPr>
            <xdr:cNvPr id="106499" name="Option Button 3" hidden="1">
              <a:extLst>
                <a:ext uri="{63B3BB69-23CF-44E3-9099-C40C66FF867C}">
                  <a14:compatExt spid="_x0000_s106499"/>
                </a:ext>
                <a:ext uri="{FF2B5EF4-FFF2-40B4-BE49-F238E27FC236}">
                  <a16:creationId xmlns:a16="http://schemas.microsoft.com/office/drawing/2014/main" id="{00000000-0008-0000-03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12700</xdr:rowOff>
        </xdr:from>
        <xdr:to>
          <xdr:col>1</xdr:col>
          <xdr:colOff>914400</xdr:colOff>
          <xdr:row>9</xdr:row>
          <xdr:rowOff>203200</xdr:rowOff>
        </xdr:to>
        <xdr:sp macro="" textlink="">
          <xdr:nvSpPr>
            <xdr:cNvPr id="106500" name="Option Button 4" hidden="1">
              <a:extLst>
                <a:ext uri="{63B3BB69-23CF-44E3-9099-C40C66FF867C}">
                  <a14:compatExt spid="_x0000_s106500"/>
                </a:ext>
                <a:ext uri="{FF2B5EF4-FFF2-40B4-BE49-F238E27FC236}">
                  <a16:creationId xmlns:a16="http://schemas.microsoft.com/office/drawing/2014/main" id="{00000000-0008-0000-03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12700</xdr:rowOff>
        </xdr:from>
        <xdr:to>
          <xdr:col>1</xdr:col>
          <xdr:colOff>914400</xdr:colOff>
          <xdr:row>10</xdr:row>
          <xdr:rowOff>203200</xdr:rowOff>
        </xdr:to>
        <xdr:sp macro="" textlink="">
          <xdr:nvSpPr>
            <xdr:cNvPr id="106501" name="Option Button 5" hidden="1">
              <a:extLst>
                <a:ext uri="{63B3BB69-23CF-44E3-9099-C40C66FF867C}">
                  <a14:compatExt spid="_x0000_s106501"/>
                </a:ext>
                <a:ext uri="{FF2B5EF4-FFF2-40B4-BE49-F238E27FC236}">
                  <a16:creationId xmlns:a16="http://schemas.microsoft.com/office/drawing/2014/main" id="{00000000-0008-0000-03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12700</xdr:rowOff>
        </xdr:from>
        <xdr:to>
          <xdr:col>1</xdr:col>
          <xdr:colOff>914400</xdr:colOff>
          <xdr:row>11</xdr:row>
          <xdr:rowOff>203200</xdr:rowOff>
        </xdr:to>
        <xdr:sp macro="" textlink="">
          <xdr:nvSpPr>
            <xdr:cNvPr id="106502" name="Option Button 6" hidden="1">
              <a:extLst>
                <a:ext uri="{63B3BB69-23CF-44E3-9099-C40C66FF867C}">
                  <a14:compatExt spid="_x0000_s106502"/>
                </a:ext>
                <a:ext uri="{FF2B5EF4-FFF2-40B4-BE49-F238E27FC236}">
                  <a16:creationId xmlns:a16="http://schemas.microsoft.com/office/drawing/2014/main" id="{00000000-0008-0000-03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12700</xdr:rowOff>
        </xdr:from>
        <xdr:to>
          <xdr:col>1</xdr:col>
          <xdr:colOff>914400</xdr:colOff>
          <xdr:row>12</xdr:row>
          <xdr:rowOff>203200</xdr:rowOff>
        </xdr:to>
        <xdr:sp macro="" textlink="">
          <xdr:nvSpPr>
            <xdr:cNvPr id="106503" name="Option Button 7" hidden="1">
              <a:extLst>
                <a:ext uri="{63B3BB69-23CF-44E3-9099-C40C66FF867C}">
                  <a14:compatExt spid="_x0000_s106503"/>
                </a:ext>
                <a:ext uri="{FF2B5EF4-FFF2-40B4-BE49-F238E27FC236}">
                  <a16:creationId xmlns:a16="http://schemas.microsoft.com/office/drawing/2014/main" id="{00000000-0008-0000-03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12700</xdr:rowOff>
        </xdr:from>
        <xdr:to>
          <xdr:col>1</xdr:col>
          <xdr:colOff>914400</xdr:colOff>
          <xdr:row>13</xdr:row>
          <xdr:rowOff>203200</xdr:rowOff>
        </xdr:to>
        <xdr:sp macro="" textlink="">
          <xdr:nvSpPr>
            <xdr:cNvPr id="106504" name="Option Button 8" hidden="1">
              <a:extLst>
                <a:ext uri="{63B3BB69-23CF-44E3-9099-C40C66FF867C}">
                  <a14:compatExt spid="_x0000_s106504"/>
                </a:ext>
                <a:ext uri="{FF2B5EF4-FFF2-40B4-BE49-F238E27FC236}">
                  <a16:creationId xmlns:a16="http://schemas.microsoft.com/office/drawing/2014/main" id="{00000000-0008-0000-03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12700</xdr:rowOff>
        </xdr:from>
        <xdr:to>
          <xdr:col>1</xdr:col>
          <xdr:colOff>914400</xdr:colOff>
          <xdr:row>15</xdr:row>
          <xdr:rowOff>0</xdr:rowOff>
        </xdr:to>
        <xdr:sp macro="" textlink="">
          <xdr:nvSpPr>
            <xdr:cNvPr id="106505" name="Option Button 9" hidden="1">
              <a:extLst>
                <a:ext uri="{63B3BB69-23CF-44E3-9099-C40C66FF867C}">
                  <a14:compatExt spid="_x0000_s106505"/>
                </a:ext>
                <a:ext uri="{FF2B5EF4-FFF2-40B4-BE49-F238E27FC236}">
                  <a16:creationId xmlns:a16="http://schemas.microsoft.com/office/drawing/2014/main" id="{00000000-0008-0000-03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12700</xdr:rowOff>
        </xdr:from>
        <xdr:to>
          <xdr:col>1</xdr:col>
          <xdr:colOff>914400</xdr:colOff>
          <xdr:row>16</xdr:row>
          <xdr:rowOff>0</xdr:rowOff>
        </xdr:to>
        <xdr:sp macro="" textlink="">
          <xdr:nvSpPr>
            <xdr:cNvPr id="106506" name="Option Button 10" hidden="1">
              <a:extLst>
                <a:ext uri="{63B3BB69-23CF-44E3-9099-C40C66FF867C}">
                  <a14:compatExt spid="_x0000_s106506"/>
                </a:ext>
                <a:ext uri="{FF2B5EF4-FFF2-40B4-BE49-F238E27FC236}">
                  <a16:creationId xmlns:a16="http://schemas.microsoft.com/office/drawing/2014/main" id="{00000000-0008-0000-03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12700</xdr:rowOff>
        </xdr:from>
        <xdr:to>
          <xdr:col>1</xdr:col>
          <xdr:colOff>914400</xdr:colOff>
          <xdr:row>16</xdr:row>
          <xdr:rowOff>203200</xdr:rowOff>
        </xdr:to>
        <xdr:sp macro="" textlink="">
          <xdr:nvSpPr>
            <xdr:cNvPr id="106507" name="Option Button 11" hidden="1">
              <a:extLst>
                <a:ext uri="{63B3BB69-23CF-44E3-9099-C40C66FF867C}">
                  <a14:compatExt spid="_x0000_s106507"/>
                </a:ext>
                <a:ext uri="{FF2B5EF4-FFF2-40B4-BE49-F238E27FC236}">
                  <a16:creationId xmlns:a16="http://schemas.microsoft.com/office/drawing/2014/main" id="{00000000-0008-0000-03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12700</xdr:rowOff>
        </xdr:from>
        <xdr:to>
          <xdr:col>1</xdr:col>
          <xdr:colOff>914400</xdr:colOff>
          <xdr:row>17</xdr:row>
          <xdr:rowOff>203200</xdr:rowOff>
        </xdr:to>
        <xdr:sp macro="" textlink="">
          <xdr:nvSpPr>
            <xdr:cNvPr id="106508" name="Option Button 12" hidden="1">
              <a:extLst>
                <a:ext uri="{63B3BB69-23CF-44E3-9099-C40C66FF867C}">
                  <a14:compatExt spid="_x0000_s106508"/>
                </a:ext>
                <a:ext uri="{FF2B5EF4-FFF2-40B4-BE49-F238E27FC236}">
                  <a16:creationId xmlns:a16="http://schemas.microsoft.com/office/drawing/2014/main" id="{00000000-0008-0000-03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12700</xdr:rowOff>
        </xdr:from>
        <xdr:to>
          <xdr:col>1</xdr:col>
          <xdr:colOff>914400</xdr:colOff>
          <xdr:row>18</xdr:row>
          <xdr:rowOff>203200</xdr:rowOff>
        </xdr:to>
        <xdr:sp macro="" textlink="">
          <xdr:nvSpPr>
            <xdr:cNvPr id="106509" name="Option Button 13" hidden="1">
              <a:extLst>
                <a:ext uri="{63B3BB69-23CF-44E3-9099-C40C66FF867C}">
                  <a14:compatExt spid="_x0000_s106509"/>
                </a:ext>
                <a:ext uri="{FF2B5EF4-FFF2-40B4-BE49-F238E27FC236}">
                  <a16:creationId xmlns:a16="http://schemas.microsoft.com/office/drawing/2014/main" id="{00000000-0008-0000-03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12700</xdr:rowOff>
        </xdr:from>
        <xdr:to>
          <xdr:col>1</xdr:col>
          <xdr:colOff>914400</xdr:colOff>
          <xdr:row>19</xdr:row>
          <xdr:rowOff>203200</xdr:rowOff>
        </xdr:to>
        <xdr:sp macro="" textlink="">
          <xdr:nvSpPr>
            <xdr:cNvPr id="106510" name="Option Button 14" hidden="1">
              <a:extLst>
                <a:ext uri="{63B3BB69-23CF-44E3-9099-C40C66FF867C}">
                  <a14:compatExt spid="_x0000_s106510"/>
                </a:ext>
                <a:ext uri="{FF2B5EF4-FFF2-40B4-BE49-F238E27FC236}">
                  <a16:creationId xmlns:a16="http://schemas.microsoft.com/office/drawing/2014/main" id="{00000000-0008-0000-03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12700</xdr:rowOff>
        </xdr:from>
        <xdr:to>
          <xdr:col>1</xdr:col>
          <xdr:colOff>914400</xdr:colOff>
          <xdr:row>20</xdr:row>
          <xdr:rowOff>203200</xdr:rowOff>
        </xdr:to>
        <xdr:sp macro="" textlink="">
          <xdr:nvSpPr>
            <xdr:cNvPr id="106511" name="Option Button 15" hidden="1">
              <a:extLst>
                <a:ext uri="{63B3BB69-23CF-44E3-9099-C40C66FF867C}">
                  <a14:compatExt spid="_x0000_s106511"/>
                </a:ext>
                <a:ext uri="{FF2B5EF4-FFF2-40B4-BE49-F238E27FC236}">
                  <a16:creationId xmlns:a16="http://schemas.microsoft.com/office/drawing/2014/main" id="{00000000-0008-0000-03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12700</xdr:rowOff>
        </xdr:from>
        <xdr:to>
          <xdr:col>1</xdr:col>
          <xdr:colOff>914400</xdr:colOff>
          <xdr:row>21</xdr:row>
          <xdr:rowOff>203200</xdr:rowOff>
        </xdr:to>
        <xdr:sp macro="" textlink="">
          <xdr:nvSpPr>
            <xdr:cNvPr id="106512" name="Option Button 16" hidden="1">
              <a:extLst>
                <a:ext uri="{63B3BB69-23CF-44E3-9099-C40C66FF867C}">
                  <a14:compatExt spid="_x0000_s106512"/>
                </a:ext>
                <a:ext uri="{FF2B5EF4-FFF2-40B4-BE49-F238E27FC236}">
                  <a16:creationId xmlns:a16="http://schemas.microsoft.com/office/drawing/2014/main" id="{00000000-0008-0000-03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12700</xdr:rowOff>
        </xdr:from>
        <xdr:to>
          <xdr:col>1</xdr:col>
          <xdr:colOff>914400</xdr:colOff>
          <xdr:row>22</xdr:row>
          <xdr:rowOff>203200</xdr:rowOff>
        </xdr:to>
        <xdr:sp macro="" textlink="">
          <xdr:nvSpPr>
            <xdr:cNvPr id="106513" name="Option Button 17" hidden="1">
              <a:extLst>
                <a:ext uri="{63B3BB69-23CF-44E3-9099-C40C66FF867C}">
                  <a14:compatExt spid="_x0000_s106513"/>
                </a:ext>
                <a:ext uri="{FF2B5EF4-FFF2-40B4-BE49-F238E27FC236}">
                  <a16:creationId xmlns:a16="http://schemas.microsoft.com/office/drawing/2014/main" id="{00000000-0008-0000-03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12700</xdr:rowOff>
        </xdr:from>
        <xdr:to>
          <xdr:col>1</xdr:col>
          <xdr:colOff>914400</xdr:colOff>
          <xdr:row>23</xdr:row>
          <xdr:rowOff>203200</xdr:rowOff>
        </xdr:to>
        <xdr:sp macro="" textlink="">
          <xdr:nvSpPr>
            <xdr:cNvPr id="106514" name="Option Button 18" hidden="1">
              <a:extLst>
                <a:ext uri="{63B3BB69-23CF-44E3-9099-C40C66FF867C}">
                  <a14:compatExt spid="_x0000_s106514"/>
                </a:ext>
                <a:ext uri="{FF2B5EF4-FFF2-40B4-BE49-F238E27FC236}">
                  <a16:creationId xmlns:a16="http://schemas.microsoft.com/office/drawing/2014/main" id="{00000000-0008-0000-03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12700</xdr:rowOff>
        </xdr:from>
        <xdr:to>
          <xdr:col>1</xdr:col>
          <xdr:colOff>914400</xdr:colOff>
          <xdr:row>24</xdr:row>
          <xdr:rowOff>203200</xdr:rowOff>
        </xdr:to>
        <xdr:sp macro="" textlink="">
          <xdr:nvSpPr>
            <xdr:cNvPr id="106515" name="Option Button 19" hidden="1">
              <a:extLst>
                <a:ext uri="{63B3BB69-23CF-44E3-9099-C40C66FF867C}">
                  <a14:compatExt spid="_x0000_s106515"/>
                </a:ext>
                <a:ext uri="{FF2B5EF4-FFF2-40B4-BE49-F238E27FC236}">
                  <a16:creationId xmlns:a16="http://schemas.microsoft.com/office/drawing/2014/main" id="{00000000-0008-0000-03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12700</xdr:rowOff>
        </xdr:from>
        <xdr:to>
          <xdr:col>1</xdr:col>
          <xdr:colOff>914400</xdr:colOff>
          <xdr:row>25</xdr:row>
          <xdr:rowOff>203200</xdr:rowOff>
        </xdr:to>
        <xdr:sp macro="" textlink="">
          <xdr:nvSpPr>
            <xdr:cNvPr id="106516" name="Option Button 20" hidden="1">
              <a:extLst>
                <a:ext uri="{63B3BB69-23CF-44E3-9099-C40C66FF867C}">
                  <a14:compatExt spid="_x0000_s106516"/>
                </a:ext>
                <a:ext uri="{FF2B5EF4-FFF2-40B4-BE49-F238E27FC236}">
                  <a16:creationId xmlns:a16="http://schemas.microsoft.com/office/drawing/2014/main" id="{00000000-0008-0000-03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12700</xdr:rowOff>
        </xdr:from>
        <xdr:to>
          <xdr:col>1</xdr:col>
          <xdr:colOff>914400</xdr:colOff>
          <xdr:row>26</xdr:row>
          <xdr:rowOff>203200</xdr:rowOff>
        </xdr:to>
        <xdr:sp macro="" textlink="">
          <xdr:nvSpPr>
            <xdr:cNvPr id="106517" name="Option Button 21" hidden="1">
              <a:extLst>
                <a:ext uri="{63B3BB69-23CF-44E3-9099-C40C66FF867C}">
                  <a14:compatExt spid="_x0000_s106517"/>
                </a:ext>
                <a:ext uri="{FF2B5EF4-FFF2-40B4-BE49-F238E27FC236}">
                  <a16:creationId xmlns:a16="http://schemas.microsoft.com/office/drawing/2014/main" id="{00000000-0008-0000-03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12700</xdr:rowOff>
        </xdr:from>
        <xdr:to>
          <xdr:col>1</xdr:col>
          <xdr:colOff>914400</xdr:colOff>
          <xdr:row>27</xdr:row>
          <xdr:rowOff>203200</xdr:rowOff>
        </xdr:to>
        <xdr:sp macro="" textlink="">
          <xdr:nvSpPr>
            <xdr:cNvPr id="106518" name="Option Button 22" hidden="1">
              <a:extLst>
                <a:ext uri="{63B3BB69-23CF-44E3-9099-C40C66FF867C}">
                  <a14:compatExt spid="_x0000_s106518"/>
                </a:ext>
                <a:ext uri="{FF2B5EF4-FFF2-40B4-BE49-F238E27FC236}">
                  <a16:creationId xmlns:a16="http://schemas.microsoft.com/office/drawing/2014/main" id="{00000000-0008-0000-03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12700</xdr:rowOff>
        </xdr:from>
        <xdr:to>
          <xdr:col>1</xdr:col>
          <xdr:colOff>914400</xdr:colOff>
          <xdr:row>28</xdr:row>
          <xdr:rowOff>203200</xdr:rowOff>
        </xdr:to>
        <xdr:sp macro="" textlink="">
          <xdr:nvSpPr>
            <xdr:cNvPr id="106519" name="Option Button 23" hidden="1">
              <a:extLst>
                <a:ext uri="{63B3BB69-23CF-44E3-9099-C40C66FF867C}">
                  <a14:compatExt spid="_x0000_s106519"/>
                </a:ext>
                <a:ext uri="{FF2B5EF4-FFF2-40B4-BE49-F238E27FC236}">
                  <a16:creationId xmlns:a16="http://schemas.microsoft.com/office/drawing/2014/main" id="{00000000-0008-0000-03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12700</xdr:rowOff>
        </xdr:from>
        <xdr:to>
          <xdr:col>1</xdr:col>
          <xdr:colOff>914400</xdr:colOff>
          <xdr:row>29</xdr:row>
          <xdr:rowOff>203200</xdr:rowOff>
        </xdr:to>
        <xdr:sp macro="" textlink="">
          <xdr:nvSpPr>
            <xdr:cNvPr id="106520" name="Option Button 24" hidden="1">
              <a:extLst>
                <a:ext uri="{63B3BB69-23CF-44E3-9099-C40C66FF867C}">
                  <a14:compatExt spid="_x0000_s106520"/>
                </a:ext>
                <a:ext uri="{FF2B5EF4-FFF2-40B4-BE49-F238E27FC236}">
                  <a16:creationId xmlns:a16="http://schemas.microsoft.com/office/drawing/2014/main" id="{00000000-0008-0000-03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12700</xdr:rowOff>
        </xdr:from>
        <xdr:to>
          <xdr:col>1</xdr:col>
          <xdr:colOff>914400</xdr:colOff>
          <xdr:row>30</xdr:row>
          <xdr:rowOff>203200</xdr:rowOff>
        </xdr:to>
        <xdr:sp macro="" textlink="">
          <xdr:nvSpPr>
            <xdr:cNvPr id="106521" name="Option Button 25" hidden="1">
              <a:extLst>
                <a:ext uri="{63B3BB69-23CF-44E3-9099-C40C66FF867C}">
                  <a14:compatExt spid="_x0000_s106521"/>
                </a:ext>
                <a:ext uri="{FF2B5EF4-FFF2-40B4-BE49-F238E27FC236}">
                  <a16:creationId xmlns:a16="http://schemas.microsoft.com/office/drawing/2014/main" id="{00000000-0008-0000-03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12700</xdr:rowOff>
        </xdr:from>
        <xdr:to>
          <xdr:col>1</xdr:col>
          <xdr:colOff>914400</xdr:colOff>
          <xdr:row>31</xdr:row>
          <xdr:rowOff>203200</xdr:rowOff>
        </xdr:to>
        <xdr:sp macro="" textlink="">
          <xdr:nvSpPr>
            <xdr:cNvPr id="106522" name="Option Button 26" hidden="1">
              <a:extLst>
                <a:ext uri="{63B3BB69-23CF-44E3-9099-C40C66FF867C}">
                  <a14:compatExt spid="_x0000_s106522"/>
                </a:ext>
                <a:ext uri="{FF2B5EF4-FFF2-40B4-BE49-F238E27FC236}">
                  <a16:creationId xmlns:a16="http://schemas.microsoft.com/office/drawing/2014/main" id="{00000000-0008-0000-03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12700</xdr:rowOff>
        </xdr:from>
        <xdr:to>
          <xdr:col>1</xdr:col>
          <xdr:colOff>914400</xdr:colOff>
          <xdr:row>32</xdr:row>
          <xdr:rowOff>203200</xdr:rowOff>
        </xdr:to>
        <xdr:sp macro="" textlink="">
          <xdr:nvSpPr>
            <xdr:cNvPr id="106523" name="Option Button 27" hidden="1">
              <a:extLst>
                <a:ext uri="{63B3BB69-23CF-44E3-9099-C40C66FF867C}">
                  <a14:compatExt spid="_x0000_s106523"/>
                </a:ext>
                <a:ext uri="{FF2B5EF4-FFF2-40B4-BE49-F238E27FC236}">
                  <a16:creationId xmlns:a16="http://schemas.microsoft.com/office/drawing/2014/main" id="{00000000-0008-0000-0300-00001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12700</xdr:rowOff>
        </xdr:from>
        <xdr:to>
          <xdr:col>1</xdr:col>
          <xdr:colOff>914400</xdr:colOff>
          <xdr:row>33</xdr:row>
          <xdr:rowOff>203200</xdr:rowOff>
        </xdr:to>
        <xdr:sp macro="" textlink="">
          <xdr:nvSpPr>
            <xdr:cNvPr id="106524" name="Option Button 28" hidden="1">
              <a:extLst>
                <a:ext uri="{63B3BB69-23CF-44E3-9099-C40C66FF867C}">
                  <a14:compatExt spid="_x0000_s106524"/>
                </a:ext>
                <a:ext uri="{FF2B5EF4-FFF2-40B4-BE49-F238E27FC236}">
                  <a16:creationId xmlns:a16="http://schemas.microsoft.com/office/drawing/2014/main" id="{00000000-0008-0000-0300-00001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12700</xdr:rowOff>
        </xdr:from>
        <xdr:to>
          <xdr:col>1</xdr:col>
          <xdr:colOff>914400</xdr:colOff>
          <xdr:row>34</xdr:row>
          <xdr:rowOff>203200</xdr:rowOff>
        </xdr:to>
        <xdr:sp macro="" textlink="">
          <xdr:nvSpPr>
            <xdr:cNvPr id="106525" name="Option Button 29" hidden="1">
              <a:extLst>
                <a:ext uri="{63B3BB69-23CF-44E3-9099-C40C66FF867C}">
                  <a14:compatExt spid="_x0000_s106525"/>
                </a:ext>
                <a:ext uri="{FF2B5EF4-FFF2-40B4-BE49-F238E27FC236}">
                  <a16:creationId xmlns:a16="http://schemas.microsoft.com/office/drawing/2014/main" id="{00000000-0008-0000-0300-00001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12700</xdr:rowOff>
        </xdr:from>
        <xdr:to>
          <xdr:col>1</xdr:col>
          <xdr:colOff>914400</xdr:colOff>
          <xdr:row>35</xdr:row>
          <xdr:rowOff>203200</xdr:rowOff>
        </xdr:to>
        <xdr:sp macro="" textlink="">
          <xdr:nvSpPr>
            <xdr:cNvPr id="106526" name="Option Button 30" hidden="1">
              <a:extLst>
                <a:ext uri="{63B3BB69-23CF-44E3-9099-C40C66FF867C}">
                  <a14:compatExt spid="_x0000_s106526"/>
                </a:ext>
                <a:ext uri="{FF2B5EF4-FFF2-40B4-BE49-F238E27FC236}">
                  <a16:creationId xmlns:a16="http://schemas.microsoft.com/office/drawing/2014/main" id="{00000000-0008-0000-0300-00001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12700</xdr:rowOff>
        </xdr:from>
        <xdr:to>
          <xdr:col>1</xdr:col>
          <xdr:colOff>914400</xdr:colOff>
          <xdr:row>36</xdr:row>
          <xdr:rowOff>203200</xdr:rowOff>
        </xdr:to>
        <xdr:sp macro="" textlink="">
          <xdr:nvSpPr>
            <xdr:cNvPr id="106527" name="Option Button 31" hidden="1">
              <a:extLst>
                <a:ext uri="{63B3BB69-23CF-44E3-9099-C40C66FF867C}">
                  <a14:compatExt spid="_x0000_s106527"/>
                </a:ext>
                <a:ext uri="{FF2B5EF4-FFF2-40B4-BE49-F238E27FC236}">
                  <a16:creationId xmlns:a16="http://schemas.microsoft.com/office/drawing/2014/main" id="{00000000-0008-0000-0300-00001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12700</xdr:rowOff>
        </xdr:from>
        <xdr:to>
          <xdr:col>1</xdr:col>
          <xdr:colOff>914400</xdr:colOff>
          <xdr:row>37</xdr:row>
          <xdr:rowOff>203200</xdr:rowOff>
        </xdr:to>
        <xdr:sp macro="" textlink="">
          <xdr:nvSpPr>
            <xdr:cNvPr id="106528" name="Option Button 32" hidden="1">
              <a:extLst>
                <a:ext uri="{63B3BB69-23CF-44E3-9099-C40C66FF867C}">
                  <a14:compatExt spid="_x0000_s106528"/>
                </a:ext>
                <a:ext uri="{FF2B5EF4-FFF2-40B4-BE49-F238E27FC236}">
                  <a16:creationId xmlns:a16="http://schemas.microsoft.com/office/drawing/2014/main" id="{00000000-0008-0000-0300-00002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12700</xdr:rowOff>
        </xdr:from>
        <xdr:to>
          <xdr:col>1</xdr:col>
          <xdr:colOff>914400</xdr:colOff>
          <xdr:row>38</xdr:row>
          <xdr:rowOff>203200</xdr:rowOff>
        </xdr:to>
        <xdr:sp macro="" textlink="">
          <xdr:nvSpPr>
            <xdr:cNvPr id="106529" name="Option Button 33" hidden="1">
              <a:extLst>
                <a:ext uri="{63B3BB69-23CF-44E3-9099-C40C66FF867C}">
                  <a14:compatExt spid="_x0000_s106529"/>
                </a:ext>
                <a:ext uri="{FF2B5EF4-FFF2-40B4-BE49-F238E27FC236}">
                  <a16:creationId xmlns:a16="http://schemas.microsoft.com/office/drawing/2014/main" id="{00000000-0008-0000-0300-00002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12700</xdr:rowOff>
        </xdr:from>
        <xdr:to>
          <xdr:col>1</xdr:col>
          <xdr:colOff>914400</xdr:colOff>
          <xdr:row>39</xdr:row>
          <xdr:rowOff>203200</xdr:rowOff>
        </xdr:to>
        <xdr:sp macro="" textlink="">
          <xdr:nvSpPr>
            <xdr:cNvPr id="106530" name="Option Button 34" hidden="1">
              <a:extLst>
                <a:ext uri="{63B3BB69-23CF-44E3-9099-C40C66FF867C}">
                  <a14:compatExt spid="_x0000_s106530"/>
                </a:ext>
                <a:ext uri="{FF2B5EF4-FFF2-40B4-BE49-F238E27FC236}">
                  <a16:creationId xmlns:a16="http://schemas.microsoft.com/office/drawing/2014/main" id="{00000000-0008-0000-0300-00002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12700</xdr:rowOff>
        </xdr:from>
        <xdr:to>
          <xdr:col>1</xdr:col>
          <xdr:colOff>914400</xdr:colOff>
          <xdr:row>40</xdr:row>
          <xdr:rowOff>203200</xdr:rowOff>
        </xdr:to>
        <xdr:sp macro="" textlink="">
          <xdr:nvSpPr>
            <xdr:cNvPr id="106531" name="Option Button 35" hidden="1">
              <a:extLst>
                <a:ext uri="{63B3BB69-23CF-44E3-9099-C40C66FF867C}">
                  <a14:compatExt spid="_x0000_s106531"/>
                </a:ext>
                <a:ext uri="{FF2B5EF4-FFF2-40B4-BE49-F238E27FC236}">
                  <a16:creationId xmlns:a16="http://schemas.microsoft.com/office/drawing/2014/main" id="{00000000-0008-0000-0300-00002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12700</xdr:rowOff>
        </xdr:from>
        <xdr:to>
          <xdr:col>1</xdr:col>
          <xdr:colOff>914400</xdr:colOff>
          <xdr:row>41</xdr:row>
          <xdr:rowOff>203200</xdr:rowOff>
        </xdr:to>
        <xdr:sp macro="" textlink="">
          <xdr:nvSpPr>
            <xdr:cNvPr id="106532" name="Option Button 36" hidden="1">
              <a:extLst>
                <a:ext uri="{63B3BB69-23CF-44E3-9099-C40C66FF867C}">
                  <a14:compatExt spid="_x0000_s106532"/>
                </a:ext>
                <a:ext uri="{FF2B5EF4-FFF2-40B4-BE49-F238E27FC236}">
                  <a16:creationId xmlns:a16="http://schemas.microsoft.com/office/drawing/2014/main" id="{00000000-0008-0000-0300-00002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12700</xdr:rowOff>
        </xdr:from>
        <xdr:to>
          <xdr:col>1</xdr:col>
          <xdr:colOff>914400</xdr:colOff>
          <xdr:row>42</xdr:row>
          <xdr:rowOff>203200</xdr:rowOff>
        </xdr:to>
        <xdr:sp macro="" textlink="">
          <xdr:nvSpPr>
            <xdr:cNvPr id="106533" name="Option Button 37" hidden="1">
              <a:extLst>
                <a:ext uri="{63B3BB69-23CF-44E3-9099-C40C66FF867C}">
                  <a14:compatExt spid="_x0000_s106533"/>
                </a:ext>
                <a:ext uri="{FF2B5EF4-FFF2-40B4-BE49-F238E27FC236}">
                  <a16:creationId xmlns:a16="http://schemas.microsoft.com/office/drawing/2014/main" id="{00000000-0008-0000-0300-00002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12700</xdr:rowOff>
        </xdr:from>
        <xdr:to>
          <xdr:col>1</xdr:col>
          <xdr:colOff>914400</xdr:colOff>
          <xdr:row>43</xdr:row>
          <xdr:rowOff>203200</xdr:rowOff>
        </xdr:to>
        <xdr:sp macro="" textlink="">
          <xdr:nvSpPr>
            <xdr:cNvPr id="106534" name="Option Button 38" hidden="1">
              <a:extLst>
                <a:ext uri="{63B3BB69-23CF-44E3-9099-C40C66FF867C}">
                  <a14:compatExt spid="_x0000_s106534"/>
                </a:ext>
                <a:ext uri="{FF2B5EF4-FFF2-40B4-BE49-F238E27FC236}">
                  <a16:creationId xmlns:a16="http://schemas.microsoft.com/office/drawing/2014/main" id="{00000000-0008-0000-0300-00002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12700</xdr:rowOff>
        </xdr:from>
        <xdr:to>
          <xdr:col>1</xdr:col>
          <xdr:colOff>914400</xdr:colOff>
          <xdr:row>44</xdr:row>
          <xdr:rowOff>203200</xdr:rowOff>
        </xdr:to>
        <xdr:sp macro="" textlink="">
          <xdr:nvSpPr>
            <xdr:cNvPr id="106535" name="Option Button 39" hidden="1">
              <a:extLst>
                <a:ext uri="{63B3BB69-23CF-44E3-9099-C40C66FF867C}">
                  <a14:compatExt spid="_x0000_s106535"/>
                </a:ext>
                <a:ext uri="{FF2B5EF4-FFF2-40B4-BE49-F238E27FC236}">
                  <a16:creationId xmlns:a16="http://schemas.microsoft.com/office/drawing/2014/main" id="{00000000-0008-0000-0300-00002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12700</xdr:rowOff>
        </xdr:from>
        <xdr:to>
          <xdr:col>1</xdr:col>
          <xdr:colOff>914400</xdr:colOff>
          <xdr:row>45</xdr:row>
          <xdr:rowOff>203200</xdr:rowOff>
        </xdr:to>
        <xdr:sp macro="" textlink="">
          <xdr:nvSpPr>
            <xdr:cNvPr id="106536" name="Option Button 40" hidden="1">
              <a:extLst>
                <a:ext uri="{63B3BB69-23CF-44E3-9099-C40C66FF867C}">
                  <a14:compatExt spid="_x0000_s106536"/>
                </a:ext>
                <a:ext uri="{FF2B5EF4-FFF2-40B4-BE49-F238E27FC236}">
                  <a16:creationId xmlns:a16="http://schemas.microsoft.com/office/drawing/2014/main" id="{00000000-0008-0000-0300-00002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12700</xdr:rowOff>
        </xdr:from>
        <xdr:to>
          <xdr:col>1</xdr:col>
          <xdr:colOff>914400</xdr:colOff>
          <xdr:row>46</xdr:row>
          <xdr:rowOff>203200</xdr:rowOff>
        </xdr:to>
        <xdr:sp macro="" textlink="">
          <xdr:nvSpPr>
            <xdr:cNvPr id="106537" name="Option Button 41" hidden="1">
              <a:extLst>
                <a:ext uri="{63B3BB69-23CF-44E3-9099-C40C66FF867C}">
                  <a14:compatExt spid="_x0000_s106537"/>
                </a:ext>
                <a:ext uri="{FF2B5EF4-FFF2-40B4-BE49-F238E27FC236}">
                  <a16:creationId xmlns:a16="http://schemas.microsoft.com/office/drawing/2014/main" id="{00000000-0008-0000-0300-00002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12700</xdr:rowOff>
        </xdr:from>
        <xdr:to>
          <xdr:col>1</xdr:col>
          <xdr:colOff>914400</xdr:colOff>
          <xdr:row>47</xdr:row>
          <xdr:rowOff>203200</xdr:rowOff>
        </xdr:to>
        <xdr:sp macro="" textlink="">
          <xdr:nvSpPr>
            <xdr:cNvPr id="106538" name="Option Button 42" hidden="1">
              <a:extLst>
                <a:ext uri="{63B3BB69-23CF-44E3-9099-C40C66FF867C}">
                  <a14:compatExt spid="_x0000_s106538"/>
                </a:ext>
                <a:ext uri="{FF2B5EF4-FFF2-40B4-BE49-F238E27FC236}">
                  <a16:creationId xmlns:a16="http://schemas.microsoft.com/office/drawing/2014/main" id="{00000000-0008-0000-0300-00002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12700</xdr:rowOff>
        </xdr:from>
        <xdr:to>
          <xdr:col>1</xdr:col>
          <xdr:colOff>914400</xdr:colOff>
          <xdr:row>48</xdr:row>
          <xdr:rowOff>203200</xdr:rowOff>
        </xdr:to>
        <xdr:sp macro="" textlink="">
          <xdr:nvSpPr>
            <xdr:cNvPr id="106539" name="Option Button 43" hidden="1">
              <a:extLst>
                <a:ext uri="{63B3BB69-23CF-44E3-9099-C40C66FF867C}">
                  <a14:compatExt spid="_x0000_s106539"/>
                </a:ext>
                <a:ext uri="{FF2B5EF4-FFF2-40B4-BE49-F238E27FC236}">
                  <a16:creationId xmlns:a16="http://schemas.microsoft.com/office/drawing/2014/main" id="{00000000-0008-0000-0300-00002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12700</xdr:rowOff>
        </xdr:from>
        <xdr:to>
          <xdr:col>1</xdr:col>
          <xdr:colOff>914400</xdr:colOff>
          <xdr:row>49</xdr:row>
          <xdr:rowOff>203200</xdr:rowOff>
        </xdr:to>
        <xdr:sp macro="" textlink="">
          <xdr:nvSpPr>
            <xdr:cNvPr id="106540" name="Option Button 44" hidden="1">
              <a:extLst>
                <a:ext uri="{63B3BB69-23CF-44E3-9099-C40C66FF867C}">
                  <a14:compatExt spid="_x0000_s106540"/>
                </a:ext>
                <a:ext uri="{FF2B5EF4-FFF2-40B4-BE49-F238E27FC236}">
                  <a16:creationId xmlns:a16="http://schemas.microsoft.com/office/drawing/2014/main" id="{00000000-0008-0000-0300-00002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12700</xdr:rowOff>
        </xdr:from>
        <xdr:to>
          <xdr:col>1</xdr:col>
          <xdr:colOff>914400</xdr:colOff>
          <xdr:row>50</xdr:row>
          <xdr:rowOff>209550</xdr:rowOff>
        </xdr:to>
        <xdr:sp macro="" textlink="">
          <xdr:nvSpPr>
            <xdr:cNvPr id="106541" name="Option Button 45" hidden="1">
              <a:extLst>
                <a:ext uri="{63B3BB69-23CF-44E3-9099-C40C66FF867C}">
                  <a14:compatExt spid="_x0000_s106541"/>
                </a:ext>
                <a:ext uri="{FF2B5EF4-FFF2-40B4-BE49-F238E27FC236}">
                  <a16:creationId xmlns:a16="http://schemas.microsoft.com/office/drawing/2014/main" id="{00000000-0008-0000-0300-00002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12700</xdr:rowOff>
        </xdr:from>
        <xdr:to>
          <xdr:col>1</xdr:col>
          <xdr:colOff>914400</xdr:colOff>
          <xdr:row>51</xdr:row>
          <xdr:rowOff>203200</xdr:rowOff>
        </xdr:to>
        <xdr:sp macro="" textlink="">
          <xdr:nvSpPr>
            <xdr:cNvPr id="106542" name="Option Button 46" hidden="1">
              <a:extLst>
                <a:ext uri="{63B3BB69-23CF-44E3-9099-C40C66FF867C}">
                  <a14:compatExt spid="_x0000_s106542"/>
                </a:ext>
                <a:ext uri="{FF2B5EF4-FFF2-40B4-BE49-F238E27FC236}">
                  <a16:creationId xmlns:a16="http://schemas.microsoft.com/office/drawing/2014/main" id="{00000000-0008-0000-0300-00002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12700</xdr:rowOff>
        </xdr:from>
        <xdr:to>
          <xdr:col>1</xdr:col>
          <xdr:colOff>914400</xdr:colOff>
          <xdr:row>52</xdr:row>
          <xdr:rowOff>203200</xdr:rowOff>
        </xdr:to>
        <xdr:sp macro="" textlink="">
          <xdr:nvSpPr>
            <xdr:cNvPr id="106543" name="Option Button 47" hidden="1">
              <a:extLst>
                <a:ext uri="{63B3BB69-23CF-44E3-9099-C40C66FF867C}">
                  <a14:compatExt spid="_x0000_s106543"/>
                </a:ext>
                <a:ext uri="{FF2B5EF4-FFF2-40B4-BE49-F238E27FC236}">
                  <a16:creationId xmlns:a16="http://schemas.microsoft.com/office/drawing/2014/main" id="{00000000-0008-0000-0300-00002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12700</xdr:rowOff>
        </xdr:from>
        <xdr:to>
          <xdr:col>1</xdr:col>
          <xdr:colOff>914400</xdr:colOff>
          <xdr:row>53</xdr:row>
          <xdr:rowOff>209550</xdr:rowOff>
        </xdr:to>
        <xdr:sp macro="" textlink="">
          <xdr:nvSpPr>
            <xdr:cNvPr id="106544" name="Option Button 48" hidden="1">
              <a:extLst>
                <a:ext uri="{63B3BB69-23CF-44E3-9099-C40C66FF867C}">
                  <a14:compatExt spid="_x0000_s106544"/>
                </a:ext>
                <a:ext uri="{FF2B5EF4-FFF2-40B4-BE49-F238E27FC236}">
                  <a16:creationId xmlns:a16="http://schemas.microsoft.com/office/drawing/2014/main" id="{00000000-0008-0000-0300-00003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12700</xdr:rowOff>
        </xdr:from>
        <xdr:to>
          <xdr:col>1</xdr:col>
          <xdr:colOff>914400</xdr:colOff>
          <xdr:row>54</xdr:row>
          <xdr:rowOff>203200</xdr:rowOff>
        </xdr:to>
        <xdr:sp macro="" textlink="">
          <xdr:nvSpPr>
            <xdr:cNvPr id="106545" name="Option Button 49" hidden="1">
              <a:extLst>
                <a:ext uri="{63B3BB69-23CF-44E3-9099-C40C66FF867C}">
                  <a14:compatExt spid="_x0000_s106545"/>
                </a:ext>
                <a:ext uri="{FF2B5EF4-FFF2-40B4-BE49-F238E27FC236}">
                  <a16:creationId xmlns:a16="http://schemas.microsoft.com/office/drawing/2014/main" id="{00000000-0008-0000-0300-00003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12700</xdr:rowOff>
        </xdr:from>
        <xdr:to>
          <xdr:col>1</xdr:col>
          <xdr:colOff>914400</xdr:colOff>
          <xdr:row>55</xdr:row>
          <xdr:rowOff>203200</xdr:rowOff>
        </xdr:to>
        <xdr:sp macro="" textlink="">
          <xdr:nvSpPr>
            <xdr:cNvPr id="106546" name="Option Button 50" hidden="1">
              <a:extLst>
                <a:ext uri="{63B3BB69-23CF-44E3-9099-C40C66FF867C}">
                  <a14:compatExt spid="_x0000_s106546"/>
                </a:ext>
                <a:ext uri="{FF2B5EF4-FFF2-40B4-BE49-F238E27FC236}">
                  <a16:creationId xmlns:a16="http://schemas.microsoft.com/office/drawing/2014/main" id="{00000000-0008-0000-0300-00003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12700</xdr:rowOff>
        </xdr:from>
        <xdr:to>
          <xdr:col>1</xdr:col>
          <xdr:colOff>914400</xdr:colOff>
          <xdr:row>56</xdr:row>
          <xdr:rowOff>203200</xdr:rowOff>
        </xdr:to>
        <xdr:sp macro="" textlink="">
          <xdr:nvSpPr>
            <xdr:cNvPr id="106547" name="Option Button 51" hidden="1">
              <a:extLst>
                <a:ext uri="{63B3BB69-23CF-44E3-9099-C40C66FF867C}">
                  <a14:compatExt spid="_x0000_s106547"/>
                </a:ext>
                <a:ext uri="{FF2B5EF4-FFF2-40B4-BE49-F238E27FC236}">
                  <a16:creationId xmlns:a16="http://schemas.microsoft.com/office/drawing/2014/main" id="{00000000-0008-0000-0300-00003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12700</xdr:rowOff>
        </xdr:from>
        <xdr:to>
          <xdr:col>1</xdr:col>
          <xdr:colOff>914400</xdr:colOff>
          <xdr:row>57</xdr:row>
          <xdr:rowOff>203200</xdr:rowOff>
        </xdr:to>
        <xdr:sp macro="" textlink="">
          <xdr:nvSpPr>
            <xdr:cNvPr id="106548" name="Option Button 52" hidden="1">
              <a:extLst>
                <a:ext uri="{63B3BB69-23CF-44E3-9099-C40C66FF867C}">
                  <a14:compatExt spid="_x0000_s106548"/>
                </a:ext>
                <a:ext uri="{FF2B5EF4-FFF2-40B4-BE49-F238E27FC236}">
                  <a16:creationId xmlns:a16="http://schemas.microsoft.com/office/drawing/2014/main" id="{00000000-0008-0000-0300-00003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12700</xdr:rowOff>
        </xdr:from>
        <xdr:to>
          <xdr:col>1</xdr:col>
          <xdr:colOff>914400</xdr:colOff>
          <xdr:row>58</xdr:row>
          <xdr:rowOff>203200</xdr:rowOff>
        </xdr:to>
        <xdr:sp macro="" textlink="">
          <xdr:nvSpPr>
            <xdr:cNvPr id="106549" name="Option Button 53" hidden="1">
              <a:extLst>
                <a:ext uri="{63B3BB69-23CF-44E3-9099-C40C66FF867C}">
                  <a14:compatExt spid="_x0000_s106549"/>
                </a:ext>
                <a:ext uri="{FF2B5EF4-FFF2-40B4-BE49-F238E27FC236}">
                  <a16:creationId xmlns:a16="http://schemas.microsoft.com/office/drawing/2014/main" id="{00000000-0008-0000-0300-00003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12700</xdr:rowOff>
        </xdr:from>
        <xdr:to>
          <xdr:col>1</xdr:col>
          <xdr:colOff>914400</xdr:colOff>
          <xdr:row>59</xdr:row>
          <xdr:rowOff>203200</xdr:rowOff>
        </xdr:to>
        <xdr:sp macro="" textlink="">
          <xdr:nvSpPr>
            <xdr:cNvPr id="106550" name="Option Button 54" hidden="1">
              <a:extLst>
                <a:ext uri="{63B3BB69-23CF-44E3-9099-C40C66FF867C}">
                  <a14:compatExt spid="_x0000_s106550"/>
                </a:ext>
                <a:ext uri="{FF2B5EF4-FFF2-40B4-BE49-F238E27FC236}">
                  <a16:creationId xmlns:a16="http://schemas.microsoft.com/office/drawing/2014/main" id="{00000000-0008-0000-0300-00003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12700</xdr:rowOff>
        </xdr:from>
        <xdr:to>
          <xdr:col>1</xdr:col>
          <xdr:colOff>914400</xdr:colOff>
          <xdr:row>60</xdr:row>
          <xdr:rowOff>203200</xdr:rowOff>
        </xdr:to>
        <xdr:sp macro="" textlink="">
          <xdr:nvSpPr>
            <xdr:cNvPr id="106551" name="Option Button 55" hidden="1">
              <a:extLst>
                <a:ext uri="{63B3BB69-23CF-44E3-9099-C40C66FF867C}">
                  <a14:compatExt spid="_x0000_s106551"/>
                </a:ext>
                <a:ext uri="{FF2B5EF4-FFF2-40B4-BE49-F238E27FC236}">
                  <a16:creationId xmlns:a16="http://schemas.microsoft.com/office/drawing/2014/main" id="{00000000-0008-0000-0300-00003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12700</xdr:rowOff>
        </xdr:from>
        <xdr:to>
          <xdr:col>1</xdr:col>
          <xdr:colOff>914400</xdr:colOff>
          <xdr:row>61</xdr:row>
          <xdr:rowOff>203200</xdr:rowOff>
        </xdr:to>
        <xdr:sp macro="" textlink="">
          <xdr:nvSpPr>
            <xdr:cNvPr id="106552" name="Option Button 56" hidden="1">
              <a:extLst>
                <a:ext uri="{63B3BB69-23CF-44E3-9099-C40C66FF867C}">
                  <a14:compatExt spid="_x0000_s106552"/>
                </a:ext>
                <a:ext uri="{FF2B5EF4-FFF2-40B4-BE49-F238E27FC236}">
                  <a16:creationId xmlns:a16="http://schemas.microsoft.com/office/drawing/2014/main" id="{00000000-0008-0000-0300-00003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12700</xdr:rowOff>
        </xdr:from>
        <xdr:to>
          <xdr:col>1</xdr:col>
          <xdr:colOff>914400</xdr:colOff>
          <xdr:row>62</xdr:row>
          <xdr:rowOff>203200</xdr:rowOff>
        </xdr:to>
        <xdr:sp macro="" textlink="">
          <xdr:nvSpPr>
            <xdr:cNvPr id="106553" name="Option Button 57" hidden="1">
              <a:extLst>
                <a:ext uri="{63B3BB69-23CF-44E3-9099-C40C66FF867C}">
                  <a14:compatExt spid="_x0000_s106553"/>
                </a:ext>
                <a:ext uri="{FF2B5EF4-FFF2-40B4-BE49-F238E27FC236}">
                  <a16:creationId xmlns:a16="http://schemas.microsoft.com/office/drawing/2014/main" id="{00000000-0008-0000-0300-00003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12700</xdr:rowOff>
        </xdr:from>
        <xdr:to>
          <xdr:col>1</xdr:col>
          <xdr:colOff>914400</xdr:colOff>
          <xdr:row>63</xdr:row>
          <xdr:rowOff>203200</xdr:rowOff>
        </xdr:to>
        <xdr:sp macro="" textlink="">
          <xdr:nvSpPr>
            <xdr:cNvPr id="106554" name="Option Button 58" hidden="1">
              <a:extLst>
                <a:ext uri="{63B3BB69-23CF-44E3-9099-C40C66FF867C}">
                  <a14:compatExt spid="_x0000_s106554"/>
                </a:ext>
                <a:ext uri="{FF2B5EF4-FFF2-40B4-BE49-F238E27FC236}">
                  <a16:creationId xmlns:a16="http://schemas.microsoft.com/office/drawing/2014/main" id="{00000000-0008-0000-0300-00003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12700</xdr:rowOff>
        </xdr:from>
        <xdr:to>
          <xdr:col>1</xdr:col>
          <xdr:colOff>914400</xdr:colOff>
          <xdr:row>64</xdr:row>
          <xdr:rowOff>203200</xdr:rowOff>
        </xdr:to>
        <xdr:sp macro="" textlink="">
          <xdr:nvSpPr>
            <xdr:cNvPr id="106555" name="Option Button 59" hidden="1">
              <a:extLst>
                <a:ext uri="{63B3BB69-23CF-44E3-9099-C40C66FF867C}">
                  <a14:compatExt spid="_x0000_s106555"/>
                </a:ext>
                <a:ext uri="{FF2B5EF4-FFF2-40B4-BE49-F238E27FC236}">
                  <a16:creationId xmlns:a16="http://schemas.microsoft.com/office/drawing/2014/main" id="{00000000-0008-0000-0300-00003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12700</xdr:rowOff>
        </xdr:from>
        <xdr:to>
          <xdr:col>1</xdr:col>
          <xdr:colOff>914400</xdr:colOff>
          <xdr:row>65</xdr:row>
          <xdr:rowOff>203200</xdr:rowOff>
        </xdr:to>
        <xdr:sp macro="" textlink="">
          <xdr:nvSpPr>
            <xdr:cNvPr id="106556" name="Option Button 60" hidden="1">
              <a:extLst>
                <a:ext uri="{63B3BB69-23CF-44E3-9099-C40C66FF867C}">
                  <a14:compatExt spid="_x0000_s106556"/>
                </a:ext>
                <a:ext uri="{FF2B5EF4-FFF2-40B4-BE49-F238E27FC236}">
                  <a16:creationId xmlns:a16="http://schemas.microsoft.com/office/drawing/2014/main" id="{00000000-0008-0000-0300-00003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12700</xdr:rowOff>
        </xdr:from>
        <xdr:to>
          <xdr:col>1</xdr:col>
          <xdr:colOff>914400</xdr:colOff>
          <xdr:row>66</xdr:row>
          <xdr:rowOff>203200</xdr:rowOff>
        </xdr:to>
        <xdr:sp macro="" textlink="">
          <xdr:nvSpPr>
            <xdr:cNvPr id="106557" name="Option Button 61" hidden="1">
              <a:extLst>
                <a:ext uri="{63B3BB69-23CF-44E3-9099-C40C66FF867C}">
                  <a14:compatExt spid="_x0000_s106557"/>
                </a:ext>
                <a:ext uri="{FF2B5EF4-FFF2-40B4-BE49-F238E27FC236}">
                  <a16:creationId xmlns:a16="http://schemas.microsoft.com/office/drawing/2014/main" id="{00000000-0008-0000-0300-00003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12700</xdr:rowOff>
        </xdr:from>
        <xdr:to>
          <xdr:col>1</xdr:col>
          <xdr:colOff>914400</xdr:colOff>
          <xdr:row>67</xdr:row>
          <xdr:rowOff>203200</xdr:rowOff>
        </xdr:to>
        <xdr:sp macro="" textlink="">
          <xdr:nvSpPr>
            <xdr:cNvPr id="106558" name="Option Button 62" hidden="1">
              <a:extLst>
                <a:ext uri="{63B3BB69-23CF-44E3-9099-C40C66FF867C}">
                  <a14:compatExt spid="_x0000_s106558"/>
                </a:ext>
                <a:ext uri="{FF2B5EF4-FFF2-40B4-BE49-F238E27FC236}">
                  <a16:creationId xmlns:a16="http://schemas.microsoft.com/office/drawing/2014/main" id="{00000000-0008-0000-0300-00003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12700</xdr:rowOff>
        </xdr:from>
        <xdr:to>
          <xdr:col>1</xdr:col>
          <xdr:colOff>914400</xdr:colOff>
          <xdr:row>68</xdr:row>
          <xdr:rowOff>203200</xdr:rowOff>
        </xdr:to>
        <xdr:sp macro="" textlink="">
          <xdr:nvSpPr>
            <xdr:cNvPr id="106559" name="Option Button 63" hidden="1">
              <a:extLst>
                <a:ext uri="{63B3BB69-23CF-44E3-9099-C40C66FF867C}">
                  <a14:compatExt spid="_x0000_s106559"/>
                </a:ext>
                <a:ext uri="{FF2B5EF4-FFF2-40B4-BE49-F238E27FC236}">
                  <a16:creationId xmlns:a16="http://schemas.microsoft.com/office/drawing/2014/main" id="{00000000-0008-0000-0300-00003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12700</xdr:rowOff>
        </xdr:from>
        <xdr:to>
          <xdr:col>1</xdr:col>
          <xdr:colOff>914400</xdr:colOff>
          <xdr:row>69</xdr:row>
          <xdr:rowOff>203200</xdr:rowOff>
        </xdr:to>
        <xdr:sp macro="" textlink="">
          <xdr:nvSpPr>
            <xdr:cNvPr id="106560" name="Option Button 64" hidden="1">
              <a:extLst>
                <a:ext uri="{63B3BB69-23CF-44E3-9099-C40C66FF867C}">
                  <a14:compatExt spid="_x0000_s106560"/>
                </a:ext>
                <a:ext uri="{FF2B5EF4-FFF2-40B4-BE49-F238E27FC236}">
                  <a16:creationId xmlns:a16="http://schemas.microsoft.com/office/drawing/2014/main" id="{00000000-0008-0000-0300-00004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12700</xdr:rowOff>
        </xdr:from>
        <xdr:to>
          <xdr:col>1</xdr:col>
          <xdr:colOff>914400</xdr:colOff>
          <xdr:row>70</xdr:row>
          <xdr:rowOff>203200</xdr:rowOff>
        </xdr:to>
        <xdr:sp macro="" textlink="">
          <xdr:nvSpPr>
            <xdr:cNvPr id="106561" name="Option Button 65" hidden="1">
              <a:extLst>
                <a:ext uri="{63B3BB69-23CF-44E3-9099-C40C66FF867C}">
                  <a14:compatExt spid="_x0000_s106561"/>
                </a:ext>
                <a:ext uri="{FF2B5EF4-FFF2-40B4-BE49-F238E27FC236}">
                  <a16:creationId xmlns:a16="http://schemas.microsoft.com/office/drawing/2014/main" id="{00000000-0008-0000-0300-00004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12700</xdr:rowOff>
        </xdr:from>
        <xdr:to>
          <xdr:col>1</xdr:col>
          <xdr:colOff>914400</xdr:colOff>
          <xdr:row>71</xdr:row>
          <xdr:rowOff>203200</xdr:rowOff>
        </xdr:to>
        <xdr:sp macro="" textlink="">
          <xdr:nvSpPr>
            <xdr:cNvPr id="106562" name="Option Button 66" hidden="1">
              <a:extLst>
                <a:ext uri="{63B3BB69-23CF-44E3-9099-C40C66FF867C}">
                  <a14:compatExt spid="_x0000_s106562"/>
                </a:ext>
                <a:ext uri="{FF2B5EF4-FFF2-40B4-BE49-F238E27FC236}">
                  <a16:creationId xmlns:a16="http://schemas.microsoft.com/office/drawing/2014/main" id="{00000000-0008-0000-0300-00004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12700</xdr:rowOff>
        </xdr:from>
        <xdr:to>
          <xdr:col>1</xdr:col>
          <xdr:colOff>914400</xdr:colOff>
          <xdr:row>72</xdr:row>
          <xdr:rowOff>203200</xdr:rowOff>
        </xdr:to>
        <xdr:sp macro="" textlink="">
          <xdr:nvSpPr>
            <xdr:cNvPr id="106563" name="Option Button 67" hidden="1">
              <a:extLst>
                <a:ext uri="{63B3BB69-23CF-44E3-9099-C40C66FF867C}">
                  <a14:compatExt spid="_x0000_s106563"/>
                </a:ext>
                <a:ext uri="{FF2B5EF4-FFF2-40B4-BE49-F238E27FC236}">
                  <a16:creationId xmlns:a16="http://schemas.microsoft.com/office/drawing/2014/main" id="{00000000-0008-0000-0300-00004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12700</xdr:rowOff>
        </xdr:from>
        <xdr:to>
          <xdr:col>1</xdr:col>
          <xdr:colOff>914400</xdr:colOff>
          <xdr:row>73</xdr:row>
          <xdr:rowOff>203200</xdr:rowOff>
        </xdr:to>
        <xdr:sp macro="" textlink="">
          <xdr:nvSpPr>
            <xdr:cNvPr id="106564" name="Option Button 68" hidden="1">
              <a:extLst>
                <a:ext uri="{63B3BB69-23CF-44E3-9099-C40C66FF867C}">
                  <a14:compatExt spid="_x0000_s106564"/>
                </a:ext>
                <a:ext uri="{FF2B5EF4-FFF2-40B4-BE49-F238E27FC236}">
                  <a16:creationId xmlns:a16="http://schemas.microsoft.com/office/drawing/2014/main" id="{00000000-0008-0000-0300-00004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12700</xdr:rowOff>
        </xdr:from>
        <xdr:to>
          <xdr:col>1</xdr:col>
          <xdr:colOff>914400</xdr:colOff>
          <xdr:row>74</xdr:row>
          <xdr:rowOff>203200</xdr:rowOff>
        </xdr:to>
        <xdr:sp macro="" textlink="">
          <xdr:nvSpPr>
            <xdr:cNvPr id="106565" name="Option Button 69" hidden="1">
              <a:extLst>
                <a:ext uri="{63B3BB69-23CF-44E3-9099-C40C66FF867C}">
                  <a14:compatExt spid="_x0000_s106565"/>
                </a:ext>
                <a:ext uri="{FF2B5EF4-FFF2-40B4-BE49-F238E27FC236}">
                  <a16:creationId xmlns:a16="http://schemas.microsoft.com/office/drawing/2014/main" id="{00000000-0008-0000-0300-00004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12700</xdr:rowOff>
        </xdr:from>
        <xdr:to>
          <xdr:col>1</xdr:col>
          <xdr:colOff>914400</xdr:colOff>
          <xdr:row>75</xdr:row>
          <xdr:rowOff>203200</xdr:rowOff>
        </xdr:to>
        <xdr:sp macro="" textlink="">
          <xdr:nvSpPr>
            <xdr:cNvPr id="106566" name="Option Button 70" hidden="1">
              <a:extLst>
                <a:ext uri="{63B3BB69-23CF-44E3-9099-C40C66FF867C}">
                  <a14:compatExt spid="_x0000_s106566"/>
                </a:ext>
                <a:ext uri="{FF2B5EF4-FFF2-40B4-BE49-F238E27FC236}">
                  <a16:creationId xmlns:a16="http://schemas.microsoft.com/office/drawing/2014/main" id="{00000000-0008-0000-0300-00004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12700</xdr:rowOff>
        </xdr:from>
        <xdr:to>
          <xdr:col>1</xdr:col>
          <xdr:colOff>914400</xdr:colOff>
          <xdr:row>76</xdr:row>
          <xdr:rowOff>203200</xdr:rowOff>
        </xdr:to>
        <xdr:sp macro="" textlink="">
          <xdr:nvSpPr>
            <xdr:cNvPr id="106567" name="Option Button 71" hidden="1">
              <a:extLst>
                <a:ext uri="{63B3BB69-23CF-44E3-9099-C40C66FF867C}">
                  <a14:compatExt spid="_x0000_s106567"/>
                </a:ext>
                <a:ext uri="{FF2B5EF4-FFF2-40B4-BE49-F238E27FC236}">
                  <a16:creationId xmlns:a16="http://schemas.microsoft.com/office/drawing/2014/main" id="{00000000-0008-0000-0300-00004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12700</xdr:rowOff>
        </xdr:from>
        <xdr:to>
          <xdr:col>1</xdr:col>
          <xdr:colOff>914400</xdr:colOff>
          <xdr:row>77</xdr:row>
          <xdr:rowOff>203200</xdr:rowOff>
        </xdr:to>
        <xdr:sp macro="" textlink="">
          <xdr:nvSpPr>
            <xdr:cNvPr id="106568" name="Option Button 72" hidden="1">
              <a:extLst>
                <a:ext uri="{63B3BB69-23CF-44E3-9099-C40C66FF867C}">
                  <a14:compatExt spid="_x0000_s106568"/>
                </a:ext>
                <a:ext uri="{FF2B5EF4-FFF2-40B4-BE49-F238E27FC236}">
                  <a16:creationId xmlns:a16="http://schemas.microsoft.com/office/drawing/2014/main" id="{00000000-0008-0000-0300-00004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12700</xdr:rowOff>
        </xdr:from>
        <xdr:to>
          <xdr:col>1</xdr:col>
          <xdr:colOff>914400</xdr:colOff>
          <xdr:row>78</xdr:row>
          <xdr:rowOff>203200</xdr:rowOff>
        </xdr:to>
        <xdr:sp macro="" textlink="">
          <xdr:nvSpPr>
            <xdr:cNvPr id="106569" name="Option Button 73" hidden="1">
              <a:extLst>
                <a:ext uri="{63B3BB69-23CF-44E3-9099-C40C66FF867C}">
                  <a14:compatExt spid="_x0000_s106569"/>
                </a:ext>
                <a:ext uri="{FF2B5EF4-FFF2-40B4-BE49-F238E27FC236}">
                  <a16:creationId xmlns:a16="http://schemas.microsoft.com/office/drawing/2014/main" id="{00000000-0008-0000-0300-00004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12700</xdr:rowOff>
        </xdr:from>
        <xdr:to>
          <xdr:col>1</xdr:col>
          <xdr:colOff>914400</xdr:colOff>
          <xdr:row>79</xdr:row>
          <xdr:rowOff>203200</xdr:rowOff>
        </xdr:to>
        <xdr:sp macro="" textlink="">
          <xdr:nvSpPr>
            <xdr:cNvPr id="106570" name="Option Button 74" hidden="1">
              <a:extLst>
                <a:ext uri="{63B3BB69-23CF-44E3-9099-C40C66FF867C}">
                  <a14:compatExt spid="_x0000_s106570"/>
                </a:ext>
                <a:ext uri="{FF2B5EF4-FFF2-40B4-BE49-F238E27FC236}">
                  <a16:creationId xmlns:a16="http://schemas.microsoft.com/office/drawing/2014/main" id="{00000000-0008-0000-0300-00004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12700</xdr:rowOff>
        </xdr:from>
        <xdr:to>
          <xdr:col>1</xdr:col>
          <xdr:colOff>914400</xdr:colOff>
          <xdr:row>80</xdr:row>
          <xdr:rowOff>203200</xdr:rowOff>
        </xdr:to>
        <xdr:sp macro="" textlink="">
          <xdr:nvSpPr>
            <xdr:cNvPr id="106571" name="Option Button 75" hidden="1">
              <a:extLst>
                <a:ext uri="{63B3BB69-23CF-44E3-9099-C40C66FF867C}">
                  <a14:compatExt spid="_x0000_s106571"/>
                </a:ext>
                <a:ext uri="{FF2B5EF4-FFF2-40B4-BE49-F238E27FC236}">
                  <a16:creationId xmlns:a16="http://schemas.microsoft.com/office/drawing/2014/main" id="{00000000-0008-0000-0300-00004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12700</xdr:rowOff>
        </xdr:from>
        <xdr:to>
          <xdr:col>1</xdr:col>
          <xdr:colOff>914400</xdr:colOff>
          <xdr:row>81</xdr:row>
          <xdr:rowOff>203200</xdr:rowOff>
        </xdr:to>
        <xdr:sp macro="" textlink="">
          <xdr:nvSpPr>
            <xdr:cNvPr id="106572" name="Option Button 76" hidden="1">
              <a:extLst>
                <a:ext uri="{63B3BB69-23CF-44E3-9099-C40C66FF867C}">
                  <a14:compatExt spid="_x0000_s106572"/>
                </a:ext>
                <a:ext uri="{FF2B5EF4-FFF2-40B4-BE49-F238E27FC236}">
                  <a16:creationId xmlns:a16="http://schemas.microsoft.com/office/drawing/2014/main" id="{00000000-0008-0000-0300-00004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12700</xdr:rowOff>
        </xdr:from>
        <xdr:to>
          <xdr:col>1</xdr:col>
          <xdr:colOff>914400</xdr:colOff>
          <xdr:row>82</xdr:row>
          <xdr:rowOff>203200</xdr:rowOff>
        </xdr:to>
        <xdr:sp macro="" textlink="">
          <xdr:nvSpPr>
            <xdr:cNvPr id="106573" name="Option Button 77" hidden="1">
              <a:extLst>
                <a:ext uri="{63B3BB69-23CF-44E3-9099-C40C66FF867C}">
                  <a14:compatExt spid="_x0000_s106573"/>
                </a:ext>
                <a:ext uri="{FF2B5EF4-FFF2-40B4-BE49-F238E27FC236}">
                  <a16:creationId xmlns:a16="http://schemas.microsoft.com/office/drawing/2014/main" id="{00000000-0008-0000-0300-00004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12700</xdr:rowOff>
        </xdr:from>
        <xdr:to>
          <xdr:col>1</xdr:col>
          <xdr:colOff>914400</xdr:colOff>
          <xdr:row>83</xdr:row>
          <xdr:rowOff>203200</xdr:rowOff>
        </xdr:to>
        <xdr:sp macro="" textlink="">
          <xdr:nvSpPr>
            <xdr:cNvPr id="106574" name="Option Button 78" hidden="1">
              <a:extLst>
                <a:ext uri="{63B3BB69-23CF-44E3-9099-C40C66FF867C}">
                  <a14:compatExt spid="_x0000_s106574"/>
                </a:ext>
                <a:ext uri="{FF2B5EF4-FFF2-40B4-BE49-F238E27FC236}">
                  <a16:creationId xmlns:a16="http://schemas.microsoft.com/office/drawing/2014/main" id="{00000000-0008-0000-0300-00004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12700</xdr:rowOff>
        </xdr:from>
        <xdr:to>
          <xdr:col>1</xdr:col>
          <xdr:colOff>914400</xdr:colOff>
          <xdr:row>84</xdr:row>
          <xdr:rowOff>203200</xdr:rowOff>
        </xdr:to>
        <xdr:sp macro="" textlink="">
          <xdr:nvSpPr>
            <xdr:cNvPr id="106575" name="Option Button 79" hidden="1">
              <a:extLst>
                <a:ext uri="{63B3BB69-23CF-44E3-9099-C40C66FF867C}">
                  <a14:compatExt spid="_x0000_s106575"/>
                </a:ext>
                <a:ext uri="{FF2B5EF4-FFF2-40B4-BE49-F238E27FC236}">
                  <a16:creationId xmlns:a16="http://schemas.microsoft.com/office/drawing/2014/main" id="{00000000-0008-0000-0300-00004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12700</xdr:rowOff>
        </xdr:from>
        <xdr:to>
          <xdr:col>1</xdr:col>
          <xdr:colOff>914400</xdr:colOff>
          <xdr:row>85</xdr:row>
          <xdr:rowOff>203200</xdr:rowOff>
        </xdr:to>
        <xdr:sp macro="" textlink="">
          <xdr:nvSpPr>
            <xdr:cNvPr id="106576" name="Option Button 80" hidden="1">
              <a:extLst>
                <a:ext uri="{63B3BB69-23CF-44E3-9099-C40C66FF867C}">
                  <a14:compatExt spid="_x0000_s106576"/>
                </a:ext>
                <a:ext uri="{FF2B5EF4-FFF2-40B4-BE49-F238E27FC236}">
                  <a16:creationId xmlns:a16="http://schemas.microsoft.com/office/drawing/2014/main" id="{00000000-0008-0000-0300-00005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12700</xdr:rowOff>
        </xdr:from>
        <xdr:to>
          <xdr:col>1</xdr:col>
          <xdr:colOff>914400</xdr:colOff>
          <xdr:row>86</xdr:row>
          <xdr:rowOff>203200</xdr:rowOff>
        </xdr:to>
        <xdr:sp macro="" textlink="">
          <xdr:nvSpPr>
            <xdr:cNvPr id="106577" name="Option Button 81" hidden="1">
              <a:extLst>
                <a:ext uri="{63B3BB69-23CF-44E3-9099-C40C66FF867C}">
                  <a14:compatExt spid="_x0000_s106577"/>
                </a:ext>
                <a:ext uri="{FF2B5EF4-FFF2-40B4-BE49-F238E27FC236}">
                  <a16:creationId xmlns:a16="http://schemas.microsoft.com/office/drawing/2014/main" id="{00000000-0008-0000-0300-00005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12700</xdr:rowOff>
        </xdr:from>
        <xdr:to>
          <xdr:col>1</xdr:col>
          <xdr:colOff>914400</xdr:colOff>
          <xdr:row>87</xdr:row>
          <xdr:rowOff>209550</xdr:rowOff>
        </xdr:to>
        <xdr:sp macro="" textlink="">
          <xdr:nvSpPr>
            <xdr:cNvPr id="106578" name="Option Button 82" hidden="1">
              <a:extLst>
                <a:ext uri="{63B3BB69-23CF-44E3-9099-C40C66FF867C}">
                  <a14:compatExt spid="_x0000_s106578"/>
                </a:ext>
                <a:ext uri="{FF2B5EF4-FFF2-40B4-BE49-F238E27FC236}">
                  <a16:creationId xmlns:a16="http://schemas.microsoft.com/office/drawing/2014/main" id="{00000000-0008-0000-0300-00005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12700</xdr:rowOff>
        </xdr:from>
        <xdr:to>
          <xdr:col>1</xdr:col>
          <xdr:colOff>914400</xdr:colOff>
          <xdr:row>88</xdr:row>
          <xdr:rowOff>203200</xdr:rowOff>
        </xdr:to>
        <xdr:sp macro="" textlink="">
          <xdr:nvSpPr>
            <xdr:cNvPr id="106579" name="Option Button 83" hidden="1">
              <a:extLst>
                <a:ext uri="{63B3BB69-23CF-44E3-9099-C40C66FF867C}">
                  <a14:compatExt spid="_x0000_s106579"/>
                </a:ext>
                <a:ext uri="{FF2B5EF4-FFF2-40B4-BE49-F238E27FC236}">
                  <a16:creationId xmlns:a16="http://schemas.microsoft.com/office/drawing/2014/main" id="{00000000-0008-0000-0300-00005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12700</xdr:rowOff>
        </xdr:from>
        <xdr:to>
          <xdr:col>1</xdr:col>
          <xdr:colOff>914400</xdr:colOff>
          <xdr:row>89</xdr:row>
          <xdr:rowOff>203200</xdr:rowOff>
        </xdr:to>
        <xdr:sp macro="" textlink="">
          <xdr:nvSpPr>
            <xdr:cNvPr id="106580" name="Option Button 84" hidden="1">
              <a:extLst>
                <a:ext uri="{63B3BB69-23CF-44E3-9099-C40C66FF867C}">
                  <a14:compatExt spid="_x0000_s106580"/>
                </a:ext>
                <a:ext uri="{FF2B5EF4-FFF2-40B4-BE49-F238E27FC236}">
                  <a16:creationId xmlns:a16="http://schemas.microsoft.com/office/drawing/2014/main" id="{00000000-0008-0000-0300-00005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12700</xdr:rowOff>
        </xdr:from>
        <xdr:to>
          <xdr:col>1</xdr:col>
          <xdr:colOff>914400</xdr:colOff>
          <xdr:row>90</xdr:row>
          <xdr:rowOff>203200</xdr:rowOff>
        </xdr:to>
        <xdr:sp macro="" textlink="">
          <xdr:nvSpPr>
            <xdr:cNvPr id="106581" name="Option Button 85" hidden="1">
              <a:extLst>
                <a:ext uri="{63B3BB69-23CF-44E3-9099-C40C66FF867C}">
                  <a14:compatExt spid="_x0000_s106581"/>
                </a:ext>
                <a:ext uri="{FF2B5EF4-FFF2-40B4-BE49-F238E27FC236}">
                  <a16:creationId xmlns:a16="http://schemas.microsoft.com/office/drawing/2014/main" id="{00000000-0008-0000-0300-00005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12700</xdr:rowOff>
        </xdr:from>
        <xdr:to>
          <xdr:col>1</xdr:col>
          <xdr:colOff>914400</xdr:colOff>
          <xdr:row>91</xdr:row>
          <xdr:rowOff>203200</xdr:rowOff>
        </xdr:to>
        <xdr:sp macro="" textlink="">
          <xdr:nvSpPr>
            <xdr:cNvPr id="106582" name="Option Button 86" hidden="1">
              <a:extLst>
                <a:ext uri="{63B3BB69-23CF-44E3-9099-C40C66FF867C}">
                  <a14:compatExt spid="_x0000_s106582"/>
                </a:ext>
                <a:ext uri="{FF2B5EF4-FFF2-40B4-BE49-F238E27FC236}">
                  <a16:creationId xmlns:a16="http://schemas.microsoft.com/office/drawing/2014/main" id="{00000000-0008-0000-0300-00005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12700</xdr:rowOff>
        </xdr:from>
        <xdr:to>
          <xdr:col>1</xdr:col>
          <xdr:colOff>914400</xdr:colOff>
          <xdr:row>92</xdr:row>
          <xdr:rowOff>203200</xdr:rowOff>
        </xdr:to>
        <xdr:sp macro="" textlink="">
          <xdr:nvSpPr>
            <xdr:cNvPr id="106583" name="Option Button 87" hidden="1">
              <a:extLst>
                <a:ext uri="{63B3BB69-23CF-44E3-9099-C40C66FF867C}">
                  <a14:compatExt spid="_x0000_s106583"/>
                </a:ext>
                <a:ext uri="{FF2B5EF4-FFF2-40B4-BE49-F238E27FC236}">
                  <a16:creationId xmlns:a16="http://schemas.microsoft.com/office/drawing/2014/main" id="{00000000-0008-0000-0300-00005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12700</xdr:rowOff>
        </xdr:from>
        <xdr:to>
          <xdr:col>1</xdr:col>
          <xdr:colOff>914400</xdr:colOff>
          <xdr:row>93</xdr:row>
          <xdr:rowOff>203200</xdr:rowOff>
        </xdr:to>
        <xdr:sp macro="" textlink="">
          <xdr:nvSpPr>
            <xdr:cNvPr id="106584" name="Option Button 88" hidden="1">
              <a:extLst>
                <a:ext uri="{63B3BB69-23CF-44E3-9099-C40C66FF867C}">
                  <a14:compatExt spid="_x0000_s106584"/>
                </a:ext>
                <a:ext uri="{FF2B5EF4-FFF2-40B4-BE49-F238E27FC236}">
                  <a16:creationId xmlns:a16="http://schemas.microsoft.com/office/drawing/2014/main" id="{00000000-0008-0000-0300-00005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12700</xdr:rowOff>
        </xdr:from>
        <xdr:to>
          <xdr:col>1</xdr:col>
          <xdr:colOff>914400</xdr:colOff>
          <xdr:row>94</xdr:row>
          <xdr:rowOff>203200</xdr:rowOff>
        </xdr:to>
        <xdr:sp macro="" textlink="">
          <xdr:nvSpPr>
            <xdr:cNvPr id="106585" name="Option Button 89" hidden="1">
              <a:extLst>
                <a:ext uri="{63B3BB69-23CF-44E3-9099-C40C66FF867C}">
                  <a14:compatExt spid="_x0000_s106585"/>
                </a:ext>
                <a:ext uri="{FF2B5EF4-FFF2-40B4-BE49-F238E27FC236}">
                  <a16:creationId xmlns:a16="http://schemas.microsoft.com/office/drawing/2014/main" id="{00000000-0008-0000-0300-00005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12700</xdr:rowOff>
        </xdr:from>
        <xdr:to>
          <xdr:col>1</xdr:col>
          <xdr:colOff>914400</xdr:colOff>
          <xdr:row>95</xdr:row>
          <xdr:rowOff>203200</xdr:rowOff>
        </xdr:to>
        <xdr:sp macro="" textlink="">
          <xdr:nvSpPr>
            <xdr:cNvPr id="106586" name="Option Button 90" hidden="1">
              <a:extLst>
                <a:ext uri="{63B3BB69-23CF-44E3-9099-C40C66FF867C}">
                  <a14:compatExt spid="_x0000_s106586"/>
                </a:ext>
                <a:ext uri="{FF2B5EF4-FFF2-40B4-BE49-F238E27FC236}">
                  <a16:creationId xmlns:a16="http://schemas.microsoft.com/office/drawing/2014/main" id="{00000000-0008-0000-0300-00005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12700</xdr:rowOff>
        </xdr:from>
        <xdr:to>
          <xdr:col>1</xdr:col>
          <xdr:colOff>914400</xdr:colOff>
          <xdr:row>96</xdr:row>
          <xdr:rowOff>203200</xdr:rowOff>
        </xdr:to>
        <xdr:sp macro="" textlink="">
          <xdr:nvSpPr>
            <xdr:cNvPr id="106587" name="Option Button 91" hidden="1">
              <a:extLst>
                <a:ext uri="{63B3BB69-23CF-44E3-9099-C40C66FF867C}">
                  <a14:compatExt spid="_x0000_s106587"/>
                </a:ext>
                <a:ext uri="{FF2B5EF4-FFF2-40B4-BE49-F238E27FC236}">
                  <a16:creationId xmlns:a16="http://schemas.microsoft.com/office/drawing/2014/main" id="{00000000-0008-0000-0300-00005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12700</xdr:rowOff>
        </xdr:from>
        <xdr:to>
          <xdr:col>1</xdr:col>
          <xdr:colOff>914400</xdr:colOff>
          <xdr:row>97</xdr:row>
          <xdr:rowOff>203200</xdr:rowOff>
        </xdr:to>
        <xdr:sp macro="" textlink="">
          <xdr:nvSpPr>
            <xdr:cNvPr id="106588" name="Option Button 92" hidden="1">
              <a:extLst>
                <a:ext uri="{63B3BB69-23CF-44E3-9099-C40C66FF867C}">
                  <a14:compatExt spid="_x0000_s106588"/>
                </a:ext>
                <a:ext uri="{FF2B5EF4-FFF2-40B4-BE49-F238E27FC236}">
                  <a16:creationId xmlns:a16="http://schemas.microsoft.com/office/drawing/2014/main" id="{00000000-0008-0000-0300-00005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12700</xdr:rowOff>
        </xdr:from>
        <xdr:to>
          <xdr:col>1</xdr:col>
          <xdr:colOff>914400</xdr:colOff>
          <xdr:row>98</xdr:row>
          <xdr:rowOff>203200</xdr:rowOff>
        </xdr:to>
        <xdr:sp macro="" textlink="">
          <xdr:nvSpPr>
            <xdr:cNvPr id="106589" name="Option Button 93" hidden="1">
              <a:extLst>
                <a:ext uri="{63B3BB69-23CF-44E3-9099-C40C66FF867C}">
                  <a14:compatExt spid="_x0000_s106589"/>
                </a:ext>
                <a:ext uri="{FF2B5EF4-FFF2-40B4-BE49-F238E27FC236}">
                  <a16:creationId xmlns:a16="http://schemas.microsoft.com/office/drawing/2014/main" id="{00000000-0008-0000-0300-00005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12700</xdr:rowOff>
        </xdr:from>
        <xdr:to>
          <xdr:col>1</xdr:col>
          <xdr:colOff>914400</xdr:colOff>
          <xdr:row>99</xdr:row>
          <xdr:rowOff>203200</xdr:rowOff>
        </xdr:to>
        <xdr:sp macro="" textlink="">
          <xdr:nvSpPr>
            <xdr:cNvPr id="106590" name="Option Button 94" hidden="1">
              <a:extLst>
                <a:ext uri="{63B3BB69-23CF-44E3-9099-C40C66FF867C}">
                  <a14:compatExt spid="_x0000_s106590"/>
                </a:ext>
                <a:ext uri="{FF2B5EF4-FFF2-40B4-BE49-F238E27FC236}">
                  <a16:creationId xmlns:a16="http://schemas.microsoft.com/office/drawing/2014/main" id="{00000000-0008-0000-0300-00005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12700</xdr:rowOff>
        </xdr:from>
        <xdr:to>
          <xdr:col>1</xdr:col>
          <xdr:colOff>914400</xdr:colOff>
          <xdr:row>100</xdr:row>
          <xdr:rowOff>203200</xdr:rowOff>
        </xdr:to>
        <xdr:sp macro="" textlink="">
          <xdr:nvSpPr>
            <xdr:cNvPr id="106591" name="Option Button 95" hidden="1">
              <a:extLst>
                <a:ext uri="{63B3BB69-23CF-44E3-9099-C40C66FF867C}">
                  <a14:compatExt spid="_x0000_s106591"/>
                </a:ext>
                <a:ext uri="{FF2B5EF4-FFF2-40B4-BE49-F238E27FC236}">
                  <a16:creationId xmlns:a16="http://schemas.microsoft.com/office/drawing/2014/main" id="{00000000-0008-0000-0300-00005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12700</xdr:rowOff>
        </xdr:from>
        <xdr:to>
          <xdr:col>1</xdr:col>
          <xdr:colOff>914400</xdr:colOff>
          <xdr:row>101</xdr:row>
          <xdr:rowOff>203200</xdr:rowOff>
        </xdr:to>
        <xdr:sp macro="" textlink="">
          <xdr:nvSpPr>
            <xdr:cNvPr id="106592" name="Option Button 96" hidden="1">
              <a:extLst>
                <a:ext uri="{63B3BB69-23CF-44E3-9099-C40C66FF867C}">
                  <a14:compatExt spid="_x0000_s106592"/>
                </a:ext>
                <a:ext uri="{FF2B5EF4-FFF2-40B4-BE49-F238E27FC236}">
                  <a16:creationId xmlns:a16="http://schemas.microsoft.com/office/drawing/2014/main" id="{00000000-0008-0000-0300-00006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12700</xdr:rowOff>
        </xdr:from>
        <xdr:to>
          <xdr:col>1</xdr:col>
          <xdr:colOff>914400</xdr:colOff>
          <xdr:row>102</xdr:row>
          <xdr:rowOff>203200</xdr:rowOff>
        </xdr:to>
        <xdr:sp macro="" textlink="">
          <xdr:nvSpPr>
            <xdr:cNvPr id="106593" name="Option Button 97" hidden="1">
              <a:extLst>
                <a:ext uri="{63B3BB69-23CF-44E3-9099-C40C66FF867C}">
                  <a14:compatExt spid="_x0000_s106593"/>
                </a:ext>
                <a:ext uri="{FF2B5EF4-FFF2-40B4-BE49-F238E27FC236}">
                  <a16:creationId xmlns:a16="http://schemas.microsoft.com/office/drawing/2014/main" id="{00000000-0008-0000-0300-00006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12700</xdr:rowOff>
        </xdr:from>
        <xdr:to>
          <xdr:col>1</xdr:col>
          <xdr:colOff>914400</xdr:colOff>
          <xdr:row>103</xdr:row>
          <xdr:rowOff>203200</xdr:rowOff>
        </xdr:to>
        <xdr:sp macro="" textlink="">
          <xdr:nvSpPr>
            <xdr:cNvPr id="106594" name="Option Button 98" hidden="1">
              <a:extLst>
                <a:ext uri="{63B3BB69-23CF-44E3-9099-C40C66FF867C}">
                  <a14:compatExt spid="_x0000_s106594"/>
                </a:ext>
                <a:ext uri="{FF2B5EF4-FFF2-40B4-BE49-F238E27FC236}">
                  <a16:creationId xmlns:a16="http://schemas.microsoft.com/office/drawing/2014/main" id="{00000000-0008-0000-0300-00006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12700</xdr:rowOff>
        </xdr:from>
        <xdr:to>
          <xdr:col>1</xdr:col>
          <xdr:colOff>914400</xdr:colOff>
          <xdr:row>104</xdr:row>
          <xdr:rowOff>203200</xdr:rowOff>
        </xdr:to>
        <xdr:sp macro="" textlink="">
          <xdr:nvSpPr>
            <xdr:cNvPr id="106595" name="Option Button 99" hidden="1">
              <a:extLst>
                <a:ext uri="{63B3BB69-23CF-44E3-9099-C40C66FF867C}">
                  <a14:compatExt spid="_x0000_s106595"/>
                </a:ext>
                <a:ext uri="{FF2B5EF4-FFF2-40B4-BE49-F238E27FC236}">
                  <a16:creationId xmlns:a16="http://schemas.microsoft.com/office/drawing/2014/main" id="{00000000-0008-0000-0300-00006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12700</xdr:rowOff>
        </xdr:from>
        <xdr:to>
          <xdr:col>1</xdr:col>
          <xdr:colOff>914400</xdr:colOff>
          <xdr:row>105</xdr:row>
          <xdr:rowOff>203200</xdr:rowOff>
        </xdr:to>
        <xdr:sp macro="" textlink="">
          <xdr:nvSpPr>
            <xdr:cNvPr id="106596" name="Option Button 100" hidden="1">
              <a:extLst>
                <a:ext uri="{63B3BB69-23CF-44E3-9099-C40C66FF867C}">
                  <a14:compatExt spid="_x0000_s106596"/>
                </a:ext>
                <a:ext uri="{FF2B5EF4-FFF2-40B4-BE49-F238E27FC236}">
                  <a16:creationId xmlns:a16="http://schemas.microsoft.com/office/drawing/2014/main" id="{00000000-0008-0000-0300-00006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12700</xdr:rowOff>
        </xdr:from>
        <xdr:to>
          <xdr:col>1</xdr:col>
          <xdr:colOff>914400</xdr:colOff>
          <xdr:row>106</xdr:row>
          <xdr:rowOff>203200</xdr:rowOff>
        </xdr:to>
        <xdr:sp macro="" textlink="">
          <xdr:nvSpPr>
            <xdr:cNvPr id="106597" name="Option Button 101" hidden="1">
              <a:extLst>
                <a:ext uri="{63B3BB69-23CF-44E3-9099-C40C66FF867C}">
                  <a14:compatExt spid="_x0000_s106597"/>
                </a:ext>
                <a:ext uri="{FF2B5EF4-FFF2-40B4-BE49-F238E27FC236}">
                  <a16:creationId xmlns:a16="http://schemas.microsoft.com/office/drawing/2014/main" id="{00000000-0008-0000-0300-00006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12700</xdr:rowOff>
        </xdr:from>
        <xdr:to>
          <xdr:col>1</xdr:col>
          <xdr:colOff>914400</xdr:colOff>
          <xdr:row>107</xdr:row>
          <xdr:rowOff>203200</xdr:rowOff>
        </xdr:to>
        <xdr:sp macro="" textlink="">
          <xdr:nvSpPr>
            <xdr:cNvPr id="106598" name="Option Button 102" hidden="1">
              <a:extLst>
                <a:ext uri="{63B3BB69-23CF-44E3-9099-C40C66FF867C}">
                  <a14:compatExt spid="_x0000_s106598"/>
                </a:ext>
                <a:ext uri="{FF2B5EF4-FFF2-40B4-BE49-F238E27FC236}">
                  <a16:creationId xmlns:a16="http://schemas.microsoft.com/office/drawing/2014/main" id="{00000000-0008-0000-0300-00006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12700</xdr:rowOff>
        </xdr:from>
        <xdr:to>
          <xdr:col>1</xdr:col>
          <xdr:colOff>914400</xdr:colOff>
          <xdr:row>108</xdr:row>
          <xdr:rowOff>203200</xdr:rowOff>
        </xdr:to>
        <xdr:sp macro="" textlink="">
          <xdr:nvSpPr>
            <xdr:cNvPr id="106599" name="Option Button 103" hidden="1">
              <a:extLst>
                <a:ext uri="{63B3BB69-23CF-44E3-9099-C40C66FF867C}">
                  <a14:compatExt spid="_x0000_s106599"/>
                </a:ext>
                <a:ext uri="{FF2B5EF4-FFF2-40B4-BE49-F238E27FC236}">
                  <a16:creationId xmlns:a16="http://schemas.microsoft.com/office/drawing/2014/main" id="{00000000-0008-0000-0300-00006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12700</xdr:rowOff>
        </xdr:from>
        <xdr:to>
          <xdr:col>1</xdr:col>
          <xdr:colOff>914400</xdr:colOff>
          <xdr:row>109</xdr:row>
          <xdr:rowOff>203200</xdr:rowOff>
        </xdr:to>
        <xdr:sp macro="" textlink="">
          <xdr:nvSpPr>
            <xdr:cNvPr id="106600" name="Option Button 104" hidden="1">
              <a:extLst>
                <a:ext uri="{63B3BB69-23CF-44E3-9099-C40C66FF867C}">
                  <a14:compatExt spid="_x0000_s106600"/>
                </a:ext>
                <a:ext uri="{FF2B5EF4-FFF2-40B4-BE49-F238E27FC236}">
                  <a16:creationId xmlns:a16="http://schemas.microsoft.com/office/drawing/2014/main" id="{00000000-0008-0000-0300-00006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12700</xdr:rowOff>
        </xdr:from>
        <xdr:to>
          <xdr:col>1</xdr:col>
          <xdr:colOff>914400</xdr:colOff>
          <xdr:row>110</xdr:row>
          <xdr:rowOff>203200</xdr:rowOff>
        </xdr:to>
        <xdr:sp macro="" textlink="">
          <xdr:nvSpPr>
            <xdr:cNvPr id="106601" name="Option Button 105" hidden="1">
              <a:extLst>
                <a:ext uri="{63B3BB69-23CF-44E3-9099-C40C66FF867C}">
                  <a14:compatExt spid="_x0000_s106601"/>
                </a:ext>
                <a:ext uri="{FF2B5EF4-FFF2-40B4-BE49-F238E27FC236}">
                  <a16:creationId xmlns:a16="http://schemas.microsoft.com/office/drawing/2014/main" id="{00000000-0008-0000-0300-00006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12700</xdr:rowOff>
        </xdr:from>
        <xdr:to>
          <xdr:col>1</xdr:col>
          <xdr:colOff>914400</xdr:colOff>
          <xdr:row>111</xdr:row>
          <xdr:rowOff>203200</xdr:rowOff>
        </xdr:to>
        <xdr:sp macro="" textlink="">
          <xdr:nvSpPr>
            <xdr:cNvPr id="106602" name="Option Button 106" hidden="1">
              <a:extLst>
                <a:ext uri="{63B3BB69-23CF-44E3-9099-C40C66FF867C}">
                  <a14:compatExt spid="_x0000_s106602"/>
                </a:ext>
                <a:ext uri="{FF2B5EF4-FFF2-40B4-BE49-F238E27FC236}">
                  <a16:creationId xmlns:a16="http://schemas.microsoft.com/office/drawing/2014/main" id="{00000000-0008-0000-0300-00006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12700</xdr:rowOff>
        </xdr:from>
        <xdr:to>
          <xdr:col>1</xdr:col>
          <xdr:colOff>914400</xdr:colOff>
          <xdr:row>112</xdr:row>
          <xdr:rowOff>203200</xdr:rowOff>
        </xdr:to>
        <xdr:sp macro="" textlink="">
          <xdr:nvSpPr>
            <xdr:cNvPr id="106603" name="Option Button 107" hidden="1">
              <a:extLst>
                <a:ext uri="{63B3BB69-23CF-44E3-9099-C40C66FF867C}">
                  <a14:compatExt spid="_x0000_s106603"/>
                </a:ext>
                <a:ext uri="{FF2B5EF4-FFF2-40B4-BE49-F238E27FC236}">
                  <a16:creationId xmlns:a16="http://schemas.microsoft.com/office/drawing/2014/main" id="{00000000-0008-0000-0300-00006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12700</xdr:rowOff>
        </xdr:from>
        <xdr:to>
          <xdr:col>1</xdr:col>
          <xdr:colOff>914400</xdr:colOff>
          <xdr:row>113</xdr:row>
          <xdr:rowOff>203200</xdr:rowOff>
        </xdr:to>
        <xdr:sp macro="" textlink="">
          <xdr:nvSpPr>
            <xdr:cNvPr id="106604" name="Option Button 108" hidden="1">
              <a:extLst>
                <a:ext uri="{63B3BB69-23CF-44E3-9099-C40C66FF867C}">
                  <a14:compatExt spid="_x0000_s106604"/>
                </a:ext>
                <a:ext uri="{FF2B5EF4-FFF2-40B4-BE49-F238E27FC236}">
                  <a16:creationId xmlns:a16="http://schemas.microsoft.com/office/drawing/2014/main" id="{00000000-0008-0000-0300-00006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12700</xdr:rowOff>
        </xdr:from>
        <xdr:to>
          <xdr:col>1</xdr:col>
          <xdr:colOff>914400</xdr:colOff>
          <xdr:row>114</xdr:row>
          <xdr:rowOff>203200</xdr:rowOff>
        </xdr:to>
        <xdr:sp macro="" textlink="">
          <xdr:nvSpPr>
            <xdr:cNvPr id="106605" name="Option Button 109" hidden="1">
              <a:extLst>
                <a:ext uri="{63B3BB69-23CF-44E3-9099-C40C66FF867C}">
                  <a14:compatExt spid="_x0000_s106605"/>
                </a:ext>
                <a:ext uri="{FF2B5EF4-FFF2-40B4-BE49-F238E27FC236}">
                  <a16:creationId xmlns:a16="http://schemas.microsoft.com/office/drawing/2014/main" id="{00000000-0008-0000-0300-00006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12700</xdr:rowOff>
        </xdr:from>
        <xdr:to>
          <xdr:col>1</xdr:col>
          <xdr:colOff>914400</xdr:colOff>
          <xdr:row>115</xdr:row>
          <xdr:rowOff>203200</xdr:rowOff>
        </xdr:to>
        <xdr:sp macro="" textlink="">
          <xdr:nvSpPr>
            <xdr:cNvPr id="106606" name="Option Button 110" hidden="1">
              <a:extLst>
                <a:ext uri="{63B3BB69-23CF-44E3-9099-C40C66FF867C}">
                  <a14:compatExt spid="_x0000_s106606"/>
                </a:ext>
                <a:ext uri="{FF2B5EF4-FFF2-40B4-BE49-F238E27FC236}">
                  <a16:creationId xmlns:a16="http://schemas.microsoft.com/office/drawing/2014/main" id="{00000000-0008-0000-0300-00006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336177</xdr:colOff>
      <xdr:row>6</xdr:row>
      <xdr:rowOff>201706</xdr:rowOff>
    </xdr:from>
    <xdr:to>
      <xdr:col>3</xdr:col>
      <xdr:colOff>145670</xdr:colOff>
      <xdr:row>9</xdr:row>
      <xdr:rowOff>39782</xdr:rowOff>
    </xdr:to>
    <xdr:sp macro="" textlink="">
      <xdr:nvSpPr>
        <xdr:cNvPr id="112" name="角丸四角形吹き出し 111">
          <a:extLst>
            <a:ext uri="{FF2B5EF4-FFF2-40B4-BE49-F238E27FC236}">
              <a16:creationId xmlns:a16="http://schemas.microsoft.com/office/drawing/2014/main" id="{00000000-0008-0000-0300-000070000000}"/>
            </a:ext>
          </a:extLst>
        </xdr:cNvPr>
        <xdr:cNvSpPr/>
      </xdr:nvSpPr>
      <xdr:spPr>
        <a:xfrm>
          <a:off x="1658471" y="1770530"/>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380999</xdr:colOff>
      <xdr:row>1</xdr:row>
      <xdr:rowOff>201706</xdr:rowOff>
    </xdr:from>
    <xdr:to>
      <xdr:col>15</xdr:col>
      <xdr:colOff>593910</xdr:colOff>
      <xdr:row>4</xdr:row>
      <xdr:rowOff>190500</xdr:rowOff>
    </xdr:to>
    <xdr:sp macro="" textlink="">
      <xdr:nvSpPr>
        <xdr:cNvPr id="113" name="角丸四角形吹き出し 112">
          <a:extLst>
            <a:ext uri="{FF2B5EF4-FFF2-40B4-BE49-F238E27FC236}">
              <a16:creationId xmlns:a16="http://schemas.microsoft.com/office/drawing/2014/main" id="{00000000-0008-0000-0300-000071000000}"/>
            </a:ext>
          </a:extLst>
        </xdr:cNvPr>
        <xdr:cNvSpPr/>
      </xdr:nvSpPr>
      <xdr:spPr>
        <a:xfrm>
          <a:off x="10197352" y="403412"/>
          <a:ext cx="4997823" cy="750794"/>
        </a:xfrm>
        <a:prstGeom prst="wedgeRoundRectCallout">
          <a:avLst>
            <a:gd name="adj1" fmla="val -80096"/>
            <a:gd name="adj2" fmla="val 14227"/>
            <a:gd name="adj3" fmla="val 16667"/>
          </a:avLst>
        </a:prstGeom>
        <a:solidFill>
          <a:sysClr val="window" lastClr="FFFFFF">
            <a:alpha val="80000"/>
          </a:sys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列４行目に</a:t>
          </a:r>
          <a:r>
            <a:rPr lang="ja-JP" altLang="en-US" sz="1100" b="1" i="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「チェックシートのご入力が必要です」　と</a:t>
          </a:r>
          <a:r>
            <a:rPr lang="ja-JP" altLang="en-US"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表示があった場合のみ</a:t>
          </a:r>
          <a:endParaRPr lang="en-US" altLang="ja-JP" sz="1200" b="1" i="0" u="sng">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用記入シート</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チェックシートにも入力をお願いします。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33618</xdr:colOff>
      <xdr:row>5</xdr:row>
      <xdr:rowOff>403410</xdr:rowOff>
    </xdr:from>
    <xdr:to>
      <xdr:col>1</xdr:col>
      <xdr:colOff>1030942</xdr:colOff>
      <xdr:row>117</xdr:row>
      <xdr:rowOff>145676</xdr:rowOff>
    </xdr:to>
    <xdr:sp macro="" textlink="">
      <xdr:nvSpPr>
        <xdr:cNvPr id="114" name="角丸四角形 113">
          <a:extLst>
            <a:ext uri="{FF2B5EF4-FFF2-40B4-BE49-F238E27FC236}">
              <a16:creationId xmlns:a16="http://schemas.microsoft.com/office/drawing/2014/main" id="{00000000-0008-0000-0300-000072000000}"/>
            </a:ext>
          </a:extLst>
        </xdr:cNvPr>
        <xdr:cNvSpPr/>
      </xdr:nvSpPr>
      <xdr:spPr>
        <a:xfrm>
          <a:off x="291353" y="1568822"/>
          <a:ext cx="997324" cy="2413747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145680</xdr:colOff>
      <xdr:row>1</xdr:row>
      <xdr:rowOff>253340</xdr:rowOff>
    </xdr:from>
    <xdr:ext cx="1505403" cy="13337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3379827" y="455046"/>
          <a:ext cx="1505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latin typeface="+mj-ea"/>
              <a:ea typeface="+mj-ea"/>
            </a:rPr>
            <a:t>● ●  ● ● </a:t>
          </a:r>
          <a:r>
            <a:rPr kumimoji="1" lang="ja-JP" altLang="ja-JP" sz="800">
              <a:solidFill>
                <a:srgbClr val="FF0000"/>
              </a:solidFill>
              <a:effectLst/>
              <a:latin typeface="+mj-ea"/>
              <a:ea typeface="+mj-ea"/>
              <a:cs typeface="+mn-cs"/>
            </a:rPr>
            <a:t>● ●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 </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r>
            <a:rPr kumimoji="1" lang="en-US" altLang="ja-JP" sz="800">
              <a:solidFill>
                <a:srgbClr val="FF0000"/>
              </a:solidFill>
              <a:effectLst/>
              <a:latin typeface="+mj-ea"/>
              <a:ea typeface="+mj-ea"/>
              <a:cs typeface="+mn-cs"/>
            </a:rPr>
            <a:t> </a:t>
          </a:r>
          <a:r>
            <a:rPr kumimoji="1" lang="ja-JP" altLang="ja-JP" sz="800">
              <a:solidFill>
                <a:srgbClr val="FF0000"/>
              </a:solidFill>
              <a:effectLst/>
              <a:latin typeface="+mj-ea"/>
              <a:ea typeface="+mj-ea"/>
              <a:cs typeface="+mn-cs"/>
            </a:rPr>
            <a:t>●</a:t>
          </a:r>
          <a:endParaRPr lang="ja-JP" altLang="ja-JP" sz="800">
            <a:solidFill>
              <a:srgbClr val="FF0000"/>
            </a:solidFill>
            <a:effectLst/>
            <a:latin typeface="+mj-ea"/>
            <a:ea typeface="+mj-ea"/>
          </a:endParaRPr>
        </a:p>
      </xdr:txBody>
    </xdr:sp>
    <xdr:clientData/>
  </xdr:oneCellAnchor>
  <xdr:twoCellAnchor>
    <xdr:from>
      <xdr:col>2</xdr:col>
      <xdr:colOff>2196353</xdr:colOff>
      <xdr:row>0</xdr:row>
      <xdr:rowOff>67235</xdr:rowOff>
    </xdr:from>
    <xdr:to>
      <xdr:col>3</xdr:col>
      <xdr:colOff>2005846</xdr:colOff>
      <xdr:row>1</xdr:row>
      <xdr:rowOff>342340</xdr:rowOff>
    </xdr:to>
    <xdr:sp macro="" textlink="">
      <xdr:nvSpPr>
        <xdr:cNvPr id="117" name="角丸四角形吹き出し 116">
          <a:extLst>
            <a:ext uri="{FF2B5EF4-FFF2-40B4-BE49-F238E27FC236}">
              <a16:creationId xmlns:a16="http://schemas.microsoft.com/office/drawing/2014/main" id="{00000000-0008-0000-0300-000075000000}"/>
            </a:ext>
          </a:extLst>
        </xdr:cNvPr>
        <xdr:cNvSpPr/>
      </xdr:nvSpPr>
      <xdr:spPr>
        <a:xfrm>
          <a:off x="3518647" y="6723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楽天</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Edy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5</xdr:row>
      <xdr:rowOff>85725</xdr:rowOff>
    </xdr:from>
    <xdr:to>
      <xdr:col>3</xdr:col>
      <xdr:colOff>2371725</xdr:colOff>
      <xdr:row>8</xdr:row>
      <xdr:rowOff>133350</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648075" y="1152525"/>
          <a:ext cx="2181225" cy="523875"/>
        </a:xfrm>
        <a:prstGeom prst="wedgeRoundRectCallout">
          <a:avLst>
            <a:gd name="adj1" fmla="val -73004"/>
            <a:gd name="adj2" fmla="val -66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申請者様の情報入力をお願いします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123825</xdr:colOff>
      <xdr:row>8</xdr:row>
      <xdr:rowOff>38100</xdr:rowOff>
    </xdr:from>
    <xdr:to>
      <xdr:col>7</xdr:col>
      <xdr:colOff>123825</xdr:colOff>
      <xdr:row>11</xdr:row>
      <xdr:rowOff>38100</xdr:rowOff>
    </xdr:to>
    <xdr:sp macro="" textlink="">
      <xdr:nvSpPr>
        <xdr:cNvPr id="3" name="角丸四角形吹き出し 2">
          <a:extLst>
            <a:ext uri="{FF2B5EF4-FFF2-40B4-BE49-F238E27FC236}">
              <a16:creationId xmlns:a16="http://schemas.microsoft.com/office/drawing/2014/main" id="{00000000-0008-0000-0400-000003000000}"/>
            </a:ext>
          </a:extLst>
        </xdr:cNvPr>
        <xdr:cNvSpPr/>
      </xdr:nvSpPr>
      <xdr:spPr>
        <a:xfrm>
          <a:off x="7762875" y="1581150"/>
          <a:ext cx="2181225" cy="523875"/>
        </a:xfrm>
        <a:prstGeom prst="wedgeRoundRectCallout">
          <a:avLst>
            <a:gd name="adj1" fmla="val -69074"/>
            <a:gd name="adj2" fmla="val 442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確認結果の入力をお願いします。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2676525</xdr:colOff>
      <xdr:row>11</xdr:row>
      <xdr:rowOff>38100</xdr:rowOff>
    </xdr:from>
    <xdr:to>
      <xdr:col>5</xdr:col>
      <xdr:colOff>19050</xdr:colOff>
      <xdr:row>45</xdr:row>
      <xdr:rowOff>9525</xdr:rowOff>
    </xdr:to>
    <xdr:sp macro="" textlink="">
      <xdr:nvSpPr>
        <xdr:cNvPr id="4" name="角丸四角形 3">
          <a:extLst>
            <a:ext uri="{FF2B5EF4-FFF2-40B4-BE49-F238E27FC236}">
              <a16:creationId xmlns:a16="http://schemas.microsoft.com/office/drawing/2014/main" id="{00000000-0008-0000-0400-000004000000}"/>
            </a:ext>
          </a:extLst>
        </xdr:cNvPr>
        <xdr:cNvSpPr/>
      </xdr:nvSpPr>
      <xdr:spPr>
        <a:xfrm>
          <a:off x="6134100" y="2105025"/>
          <a:ext cx="1524000" cy="792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438150</xdr:colOff>
          <xdr:row>6</xdr:row>
          <xdr:rowOff>31750</xdr:rowOff>
        </xdr:from>
        <xdr:to>
          <xdr:col>1</xdr:col>
          <xdr:colOff>990600</xdr:colOff>
          <xdr:row>6</xdr:row>
          <xdr:rowOff>184150</xdr:rowOff>
        </xdr:to>
        <xdr:sp macro="" textlink="">
          <xdr:nvSpPr>
            <xdr:cNvPr id="144385" name="Option Button 1" hidden="1">
              <a:extLst>
                <a:ext uri="{63B3BB69-23CF-44E3-9099-C40C66FF867C}">
                  <a14:compatExt spid="_x0000_s144385"/>
                </a:ext>
                <a:ext uri="{FF2B5EF4-FFF2-40B4-BE49-F238E27FC236}">
                  <a16:creationId xmlns:a16="http://schemas.microsoft.com/office/drawing/2014/main" id="{00000000-0008-0000-0500-00000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31750</xdr:rowOff>
        </xdr:from>
        <xdr:to>
          <xdr:col>1</xdr:col>
          <xdr:colOff>990600</xdr:colOff>
          <xdr:row>7</xdr:row>
          <xdr:rowOff>184150</xdr:rowOff>
        </xdr:to>
        <xdr:sp macro="" textlink="">
          <xdr:nvSpPr>
            <xdr:cNvPr id="144386" name="Option Button 2" hidden="1">
              <a:extLst>
                <a:ext uri="{63B3BB69-23CF-44E3-9099-C40C66FF867C}">
                  <a14:compatExt spid="_x0000_s144386"/>
                </a:ext>
                <a:ext uri="{FF2B5EF4-FFF2-40B4-BE49-F238E27FC236}">
                  <a16:creationId xmlns:a16="http://schemas.microsoft.com/office/drawing/2014/main" id="{00000000-0008-0000-0500-00000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31750</xdr:rowOff>
        </xdr:from>
        <xdr:to>
          <xdr:col>1</xdr:col>
          <xdr:colOff>990600</xdr:colOff>
          <xdr:row>8</xdr:row>
          <xdr:rowOff>184150</xdr:rowOff>
        </xdr:to>
        <xdr:sp macro="" textlink="">
          <xdr:nvSpPr>
            <xdr:cNvPr id="144387" name="Option Button 3" hidden="1">
              <a:extLst>
                <a:ext uri="{63B3BB69-23CF-44E3-9099-C40C66FF867C}">
                  <a14:compatExt spid="_x0000_s144387"/>
                </a:ext>
                <a:ext uri="{FF2B5EF4-FFF2-40B4-BE49-F238E27FC236}">
                  <a16:creationId xmlns:a16="http://schemas.microsoft.com/office/drawing/2014/main" id="{00000000-0008-0000-0500-00000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xdr:row>
          <xdr:rowOff>31750</xdr:rowOff>
        </xdr:from>
        <xdr:to>
          <xdr:col>1</xdr:col>
          <xdr:colOff>990600</xdr:colOff>
          <xdr:row>9</xdr:row>
          <xdr:rowOff>184150</xdr:rowOff>
        </xdr:to>
        <xdr:sp macro="" textlink="">
          <xdr:nvSpPr>
            <xdr:cNvPr id="144388" name="Option Button 4" hidden="1">
              <a:extLst>
                <a:ext uri="{63B3BB69-23CF-44E3-9099-C40C66FF867C}">
                  <a14:compatExt spid="_x0000_s144388"/>
                </a:ext>
                <a:ext uri="{FF2B5EF4-FFF2-40B4-BE49-F238E27FC236}">
                  <a16:creationId xmlns:a16="http://schemas.microsoft.com/office/drawing/2014/main" id="{00000000-0008-0000-0500-00000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xdr:row>
          <xdr:rowOff>31750</xdr:rowOff>
        </xdr:from>
        <xdr:to>
          <xdr:col>1</xdr:col>
          <xdr:colOff>990600</xdr:colOff>
          <xdr:row>10</xdr:row>
          <xdr:rowOff>184150</xdr:rowOff>
        </xdr:to>
        <xdr:sp macro="" textlink="">
          <xdr:nvSpPr>
            <xdr:cNvPr id="144389" name="Option Button 5" hidden="1">
              <a:extLst>
                <a:ext uri="{63B3BB69-23CF-44E3-9099-C40C66FF867C}">
                  <a14:compatExt spid="_x0000_s144389"/>
                </a:ext>
                <a:ext uri="{FF2B5EF4-FFF2-40B4-BE49-F238E27FC236}">
                  <a16:creationId xmlns:a16="http://schemas.microsoft.com/office/drawing/2014/main" id="{00000000-0008-0000-0500-00000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xdr:row>
          <xdr:rowOff>31750</xdr:rowOff>
        </xdr:from>
        <xdr:to>
          <xdr:col>1</xdr:col>
          <xdr:colOff>990600</xdr:colOff>
          <xdr:row>11</xdr:row>
          <xdr:rowOff>184150</xdr:rowOff>
        </xdr:to>
        <xdr:sp macro="" textlink="">
          <xdr:nvSpPr>
            <xdr:cNvPr id="144390" name="Option Button 6" hidden="1">
              <a:extLst>
                <a:ext uri="{63B3BB69-23CF-44E3-9099-C40C66FF867C}">
                  <a14:compatExt spid="_x0000_s144390"/>
                </a:ext>
                <a:ext uri="{FF2B5EF4-FFF2-40B4-BE49-F238E27FC236}">
                  <a16:creationId xmlns:a16="http://schemas.microsoft.com/office/drawing/2014/main" id="{00000000-0008-0000-0500-00000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xdr:row>
          <xdr:rowOff>31750</xdr:rowOff>
        </xdr:from>
        <xdr:to>
          <xdr:col>1</xdr:col>
          <xdr:colOff>990600</xdr:colOff>
          <xdr:row>12</xdr:row>
          <xdr:rowOff>184150</xdr:rowOff>
        </xdr:to>
        <xdr:sp macro="" textlink="">
          <xdr:nvSpPr>
            <xdr:cNvPr id="144391" name="Option Button 7" hidden="1">
              <a:extLst>
                <a:ext uri="{63B3BB69-23CF-44E3-9099-C40C66FF867C}">
                  <a14:compatExt spid="_x0000_s144391"/>
                </a:ext>
                <a:ext uri="{FF2B5EF4-FFF2-40B4-BE49-F238E27FC236}">
                  <a16:creationId xmlns:a16="http://schemas.microsoft.com/office/drawing/2014/main" id="{00000000-0008-0000-0500-00000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xdr:row>
          <xdr:rowOff>31750</xdr:rowOff>
        </xdr:from>
        <xdr:to>
          <xdr:col>1</xdr:col>
          <xdr:colOff>990600</xdr:colOff>
          <xdr:row>13</xdr:row>
          <xdr:rowOff>184150</xdr:rowOff>
        </xdr:to>
        <xdr:sp macro="" textlink="">
          <xdr:nvSpPr>
            <xdr:cNvPr id="144392" name="Option Button 8" hidden="1">
              <a:extLst>
                <a:ext uri="{63B3BB69-23CF-44E3-9099-C40C66FF867C}">
                  <a14:compatExt spid="_x0000_s144392"/>
                </a:ext>
                <a:ext uri="{FF2B5EF4-FFF2-40B4-BE49-F238E27FC236}">
                  <a16:creationId xmlns:a16="http://schemas.microsoft.com/office/drawing/2014/main" id="{00000000-0008-0000-0500-00000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xdr:row>
          <xdr:rowOff>31750</xdr:rowOff>
        </xdr:from>
        <xdr:to>
          <xdr:col>1</xdr:col>
          <xdr:colOff>990600</xdr:colOff>
          <xdr:row>14</xdr:row>
          <xdr:rowOff>184150</xdr:rowOff>
        </xdr:to>
        <xdr:sp macro="" textlink="">
          <xdr:nvSpPr>
            <xdr:cNvPr id="144393" name="Option Button 9" hidden="1">
              <a:extLst>
                <a:ext uri="{63B3BB69-23CF-44E3-9099-C40C66FF867C}">
                  <a14:compatExt spid="_x0000_s144393"/>
                </a:ext>
                <a:ext uri="{FF2B5EF4-FFF2-40B4-BE49-F238E27FC236}">
                  <a16:creationId xmlns:a16="http://schemas.microsoft.com/office/drawing/2014/main" id="{00000000-0008-0000-0500-00000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15</xdr:row>
          <xdr:rowOff>31750</xdr:rowOff>
        </xdr:from>
        <xdr:to>
          <xdr:col>1</xdr:col>
          <xdr:colOff>990600</xdr:colOff>
          <xdr:row>15</xdr:row>
          <xdr:rowOff>184150</xdr:rowOff>
        </xdr:to>
        <xdr:sp macro="" textlink="">
          <xdr:nvSpPr>
            <xdr:cNvPr id="144394" name="Option Button 10" hidden="1">
              <a:extLst>
                <a:ext uri="{63B3BB69-23CF-44E3-9099-C40C66FF867C}">
                  <a14:compatExt spid="_x0000_s144394"/>
                </a:ext>
                <a:ext uri="{FF2B5EF4-FFF2-40B4-BE49-F238E27FC236}">
                  <a16:creationId xmlns:a16="http://schemas.microsoft.com/office/drawing/2014/main" id="{00000000-0008-0000-0500-00000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16</xdr:row>
          <xdr:rowOff>31750</xdr:rowOff>
        </xdr:from>
        <xdr:to>
          <xdr:col>1</xdr:col>
          <xdr:colOff>990600</xdr:colOff>
          <xdr:row>16</xdr:row>
          <xdr:rowOff>184150</xdr:rowOff>
        </xdr:to>
        <xdr:sp macro="" textlink="">
          <xdr:nvSpPr>
            <xdr:cNvPr id="144395" name="Option Button 11" hidden="1">
              <a:extLst>
                <a:ext uri="{63B3BB69-23CF-44E3-9099-C40C66FF867C}">
                  <a14:compatExt spid="_x0000_s144395"/>
                </a:ext>
                <a:ext uri="{FF2B5EF4-FFF2-40B4-BE49-F238E27FC236}">
                  <a16:creationId xmlns:a16="http://schemas.microsoft.com/office/drawing/2014/main" id="{00000000-0008-0000-0500-00000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17</xdr:row>
          <xdr:rowOff>31750</xdr:rowOff>
        </xdr:from>
        <xdr:to>
          <xdr:col>1</xdr:col>
          <xdr:colOff>990600</xdr:colOff>
          <xdr:row>17</xdr:row>
          <xdr:rowOff>184150</xdr:rowOff>
        </xdr:to>
        <xdr:sp macro="" textlink="">
          <xdr:nvSpPr>
            <xdr:cNvPr id="144396" name="Option Button 12" hidden="1">
              <a:extLst>
                <a:ext uri="{63B3BB69-23CF-44E3-9099-C40C66FF867C}">
                  <a14:compatExt spid="_x0000_s144396"/>
                </a:ext>
                <a:ext uri="{FF2B5EF4-FFF2-40B4-BE49-F238E27FC236}">
                  <a16:creationId xmlns:a16="http://schemas.microsoft.com/office/drawing/2014/main" id="{00000000-0008-0000-0500-00000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18</xdr:row>
          <xdr:rowOff>31750</xdr:rowOff>
        </xdr:from>
        <xdr:to>
          <xdr:col>1</xdr:col>
          <xdr:colOff>990600</xdr:colOff>
          <xdr:row>18</xdr:row>
          <xdr:rowOff>184150</xdr:rowOff>
        </xdr:to>
        <xdr:sp macro="" textlink="">
          <xdr:nvSpPr>
            <xdr:cNvPr id="144397" name="Option Button 13" hidden="1">
              <a:extLst>
                <a:ext uri="{63B3BB69-23CF-44E3-9099-C40C66FF867C}">
                  <a14:compatExt spid="_x0000_s144397"/>
                </a:ext>
                <a:ext uri="{FF2B5EF4-FFF2-40B4-BE49-F238E27FC236}">
                  <a16:creationId xmlns:a16="http://schemas.microsoft.com/office/drawing/2014/main" id="{00000000-0008-0000-0500-00000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19</xdr:row>
          <xdr:rowOff>31750</xdr:rowOff>
        </xdr:from>
        <xdr:to>
          <xdr:col>1</xdr:col>
          <xdr:colOff>990600</xdr:colOff>
          <xdr:row>19</xdr:row>
          <xdr:rowOff>184150</xdr:rowOff>
        </xdr:to>
        <xdr:sp macro="" textlink="">
          <xdr:nvSpPr>
            <xdr:cNvPr id="144398" name="Option Button 14" hidden="1">
              <a:extLst>
                <a:ext uri="{63B3BB69-23CF-44E3-9099-C40C66FF867C}">
                  <a14:compatExt spid="_x0000_s144398"/>
                </a:ext>
                <a:ext uri="{FF2B5EF4-FFF2-40B4-BE49-F238E27FC236}">
                  <a16:creationId xmlns:a16="http://schemas.microsoft.com/office/drawing/2014/main" id="{00000000-0008-0000-0500-00000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20</xdr:row>
          <xdr:rowOff>31750</xdr:rowOff>
        </xdr:from>
        <xdr:to>
          <xdr:col>1</xdr:col>
          <xdr:colOff>990600</xdr:colOff>
          <xdr:row>20</xdr:row>
          <xdr:rowOff>184150</xdr:rowOff>
        </xdr:to>
        <xdr:sp macro="" textlink="">
          <xdr:nvSpPr>
            <xdr:cNvPr id="144399" name="Option Button 15" hidden="1">
              <a:extLst>
                <a:ext uri="{63B3BB69-23CF-44E3-9099-C40C66FF867C}">
                  <a14:compatExt spid="_x0000_s144399"/>
                </a:ext>
                <a:ext uri="{FF2B5EF4-FFF2-40B4-BE49-F238E27FC236}">
                  <a16:creationId xmlns:a16="http://schemas.microsoft.com/office/drawing/2014/main" id="{00000000-0008-0000-0500-00000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31750</xdr:rowOff>
        </xdr:from>
        <xdr:to>
          <xdr:col>1</xdr:col>
          <xdr:colOff>990600</xdr:colOff>
          <xdr:row>21</xdr:row>
          <xdr:rowOff>184150</xdr:rowOff>
        </xdr:to>
        <xdr:sp macro="" textlink="">
          <xdr:nvSpPr>
            <xdr:cNvPr id="144400" name="Option Button 16" hidden="1">
              <a:extLst>
                <a:ext uri="{63B3BB69-23CF-44E3-9099-C40C66FF867C}">
                  <a14:compatExt spid="_x0000_s144400"/>
                </a:ext>
                <a:ext uri="{FF2B5EF4-FFF2-40B4-BE49-F238E27FC236}">
                  <a16:creationId xmlns:a16="http://schemas.microsoft.com/office/drawing/2014/main" id="{00000000-0008-0000-0500-00001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31750</xdr:rowOff>
        </xdr:from>
        <xdr:to>
          <xdr:col>1</xdr:col>
          <xdr:colOff>990600</xdr:colOff>
          <xdr:row>22</xdr:row>
          <xdr:rowOff>184150</xdr:rowOff>
        </xdr:to>
        <xdr:sp macro="" textlink="">
          <xdr:nvSpPr>
            <xdr:cNvPr id="144401" name="Option Button 17" hidden="1">
              <a:extLst>
                <a:ext uri="{63B3BB69-23CF-44E3-9099-C40C66FF867C}">
                  <a14:compatExt spid="_x0000_s144401"/>
                </a:ext>
                <a:ext uri="{FF2B5EF4-FFF2-40B4-BE49-F238E27FC236}">
                  <a16:creationId xmlns:a16="http://schemas.microsoft.com/office/drawing/2014/main" id="{00000000-0008-0000-0500-00001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23</xdr:row>
          <xdr:rowOff>31750</xdr:rowOff>
        </xdr:from>
        <xdr:to>
          <xdr:col>1</xdr:col>
          <xdr:colOff>990600</xdr:colOff>
          <xdr:row>23</xdr:row>
          <xdr:rowOff>184150</xdr:rowOff>
        </xdr:to>
        <xdr:sp macro="" textlink="">
          <xdr:nvSpPr>
            <xdr:cNvPr id="144402" name="Option Button 18" hidden="1">
              <a:extLst>
                <a:ext uri="{63B3BB69-23CF-44E3-9099-C40C66FF867C}">
                  <a14:compatExt spid="_x0000_s144402"/>
                </a:ext>
                <a:ext uri="{FF2B5EF4-FFF2-40B4-BE49-F238E27FC236}">
                  <a16:creationId xmlns:a16="http://schemas.microsoft.com/office/drawing/2014/main" id="{00000000-0008-0000-0500-00001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24</xdr:row>
          <xdr:rowOff>31750</xdr:rowOff>
        </xdr:from>
        <xdr:to>
          <xdr:col>1</xdr:col>
          <xdr:colOff>990600</xdr:colOff>
          <xdr:row>24</xdr:row>
          <xdr:rowOff>184150</xdr:rowOff>
        </xdr:to>
        <xdr:sp macro="" textlink="">
          <xdr:nvSpPr>
            <xdr:cNvPr id="144403" name="Option Button 19" hidden="1">
              <a:extLst>
                <a:ext uri="{63B3BB69-23CF-44E3-9099-C40C66FF867C}">
                  <a14:compatExt spid="_x0000_s144403"/>
                </a:ext>
                <a:ext uri="{FF2B5EF4-FFF2-40B4-BE49-F238E27FC236}">
                  <a16:creationId xmlns:a16="http://schemas.microsoft.com/office/drawing/2014/main" id="{00000000-0008-0000-0500-00001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25</xdr:row>
          <xdr:rowOff>31750</xdr:rowOff>
        </xdr:from>
        <xdr:to>
          <xdr:col>1</xdr:col>
          <xdr:colOff>990600</xdr:colOff>
          <xdr:row>25</xdr:row>
          <xdr:rowOff>184150</xdr:rowOff>
        </xdr:to>
        <xdr:sp macro="" textlink="">
          <xdr:nvSpPr>
            <xdr:cNvPr id="144404" name="Option Button 20" hidden="1">
              <a:extLst>
                <a:ext uri="{63B3BB69-23CF-44E3-9099-C40C66FF867C}">
                  <a14:compatExt spid="_x0000_s144404"/>
                </a:ext>
                <a:ext uri="{FF2B5EF4-FFF2-40B4-BE49-F238E27FC236}">
                  <a16:creationId xmlns:a16="http://schemas.microsoft.com/office/drawing/2014/main" id="{00000000-0008-0000-0500-00001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26</xdr:row>
          <xdr:rowOff>31750</xdr:rowOff>
        </xdr:from>
        <xdr:to>
          <xdr:col>1</xdr:col>
          <xdr:colOff>990600</xdr:colOff>
          <xdr:row>26</xdr:row>
          <xdr:rowOff>184150</xdr:rowOff>
        </xdr:to>
        <xdr:sp macro="" textlink="">
          <xdr:nvSpPr>
            <xdr:cNvPr id="144405" name="Option Button 21" hidden="1">
              <a:extLst>
                <a:ext uri="{63B3BB69-23CF-44E3-9099-C40C66FF867C}">
                  <a14:compatExt spid="_x0000_s144405"/>
                </a:ext>
                <a:ext uri="{FF2B5EF4-FFF2-40B4-BE49-F238E27FC236}">
                  <a16:creationId xmlns:a16="http://schemas.microsoft.com/office/drawing/2014/main" id="{00000000-0008-0000-0500-00001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27</xdr:row>
          <xdr:rowOff>31750</xdr:rowOff>
        </xdr:from>
        <xdr:to>
          <xdr:col>1</xdr:col>
          <xdr:colOff>990600</xdr:colOff>
          <xdr:row>27</xdr:row>
          <xdr:rowOff>184150</xdr:rowOff>
        </xdr:to>
        <xdr:sp macro="" textlink="">
          <xdr:nvSpPr>
            <xdr:cNvPr id="144406" name="Option Button 22" hidden="1">
              <a:extLst>
                <a:ext uri="{63B3BB69-23CF-44E3-9099-C40C66FF867C}">
                  <a14:compatExt spid="_x0000_s144406"/>
                </a:ext>
                <a:ext uri="{FF2B5EF4-FFF2-40B4-BE49-F238E27FC236}">
                  <a16:creationId xmlns:a16="http://schemas.microsoft.com/office/drawing/2014/main" id="{00000000-0008-0000-0500-00001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28</xdr:row>
          <xdr:rowOff>31750</xdr:rowOff>
        </xdr:from>
        <xdr:to>
          <xdr:col>1</xdr:col>
          <xdr:colOff>990600</xdr:colOff>
          <xdr:row>28</xdr:row>
          <xdr:rowOff>184150</xdr:rowOff>
        </xdr:to>
        <xdr:sp macro="" textlink="">
          <xdr:nvSpPr>
            <xdr:cNvPr id="144407" name="Option Button 23" hidden="1">
              <a:extLst>
                <a:ext uri="{63B3BB69-23CF-44E3-9099-C40C66FF867C}">
                  <a14:compatExt spid="_x0000_s144407"/>
                </a:ext>
                <a:ext uri="{FF2B5EF4-FFF2-40B4-BE49-F238E27FC236}">
                  <a16:creationId xmlns:a16="http://schemas.microsoft.com/office/drawing/2014/main" id="{00000000-0008-0000-0500-00001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29</xdr:row>
          <xdr:rowOff>31750</xdr:rowOff>
        </xdr:from>
        <xdr:to>
          <xdr:col>1</xdr:col>
          <xdr:colOff>990600</xdr:colOff>
          <xdr:row>29</xdr:row>
          <xdr:rowOff>184150</xdr:rowOff>
        </xdr:to>
        <xdr:sp macro="" textlink="">
          <xdr:nvSpPr>
            <xdr:cNvPr id="144408" name="Option Button 24" hidden="1">
              <a:extLst>
                <a:ext uri="{63B3BB69-23CF-44E3-9099-C40C66FF867C}">
                  <a14:compatExt spid="_x0000_s144408"/>
                </a:ext>
                <a:ext uri="{FF2B5EF4-FFF2-40B4-BE49-F238E27FC236}">
                  <a16:creationId xmlns:a16="http://schemas.microsoft.com/office/drawing/2014/main" id="{00000000-0008-0000-0500-00001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30</xdr:row>
          <xdr:rowOff>31750</xdr:rowOff>
        </xdr:from>
        <xdr:to>
          <xdr:col>1</xdr:col>
          <xdr:colOff>990600</xdr:colOff>
          <xdr:row>30</xdr:row>
          <xdr:rowOff>184150</xdr:rowOff>
        </xdr:to>
        <xdr:sp macro="" textlink="">
          <xdr:nvSpPr>
            <xdr:cNvPr id="144409" name="Option Button 25" hidden="1">
              <a:extLst>
                <a:ext uri="{63B3BB69-23CF-44E3-9099-C40C66FF867C}">
                  <a14:compatExt spid="_x0000_s144409"/>
                </a:ext>
                <a:ext uri="{FF2B5EF4-FFF2-40B4-BE49-F238E27FC236}">
                  <a16:creationId xmlns:a16="http://schemas.microsoft.com/office/drawing/2014/main" id="{00000000-0008-0000-0500-00001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31</xdr:row>
          <xdr:rowOff>31750</xdr:rowOff>
        </xdr:from>
        <xdr:to>
          <xdr:col>1</xdr:col>
          <xdr:colOff>990600</xdr:colOff>
          <xdr:row>31</xdr:row>
          <xdr:rowOff>184150</xdr:rowOff>
        </xdr:to>
        <xdr:sp macro="" textlink="">
          <xdr:nvSpPr>
            <xdr:cNvPr id="144410" name="Option Button 26" hidden="1">
              <a:extLst>
                <a:ext uri="{63B3BB69-23CF-44E3-9099-C40C66FF867C}">
                  <a14:compatExt spid="_x0000_s144410"/>
                </a:ext>
                <a:ext uri="{FF2B5EF4-FFF2-40B4-BE49-F238E27FC236}">
                  <a16:creationId xmlns:a16="http://schemas.microsoft.com/office/drawing/2014/main" id="{00000000-0008-0000-0500-00001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32</xdr:row>
          <xdr:rowOff>31750</xdr:rowOff>
        </xdr:from>
        <xdr:to>
          <xdr:col>1</xdr:col>
          <xdr:colOff>990600</xdr:colOff>
          <xdr:row>32</xdr:row>
          <xdr:rowOff>184150</xdr:rowOff>
        </xdr:to>
        <xdr:sp macro="" textlink="">
          <xdr:nvSpPr>
            <xdr:cNvPr id="144411" name="Option Button 27" hidden="1">
              <a:extLst>
                <a:ext uri="{63B3BB69-23CF-44E3-9099-C40C66FF867C}">
                  <a14:compatExt spid="_x0000_s144411"/>
                </a:ext>
                <a:ext uri="{FF2B5EF4-FFF2-40B4-BE49-F238E27FC236}">
                  <a16:creationId xmlns:a16="http://schemas.microsoft.com/office/drawing/2014/main" id="{00000000-0008-0000-0500-00001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33</xdr:row>
          <xdr:rowOff>31750</xdr:rowOff>
        </xdr:from>
        <xdr:to>
          <xdr:col>1</xdr:col>
          <xdr:colOff>990600</xdr:colOff>
          <xdr:row>33</xdr:row>
          <xdr:rowOff>184150</xdr:rowOff>
        </xdr:to>
        <xdr:sp macro="" textlink="">
          <xdr:nvSpPr>
            <xdr:cNvPr id="144412" name="Option Button 28" hidden="1">
              <a:extLst>
                <a:ext uri="{63B3BB69-23CF-44E3-9099-C40C66FF867C}">
                  <a14:compatExt spid="_x0000_s144412"/>
                </a:ext>
                <a:ext uri="{FF2B5EF4-FFF2-40B4-BE49-F238E27FC236}">
                  <a16:creationId xmlns:a16="http://schemas.microsoft.com/office/drawing/2014/main" id="{00000000-0008-0000-0500-00001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31750</xdr:rowOff>
        </xdr:from>
        <xdr:to>
          <xdr:col>1</xdr:col>
          <xdr:colOff>990600</xdr:colOff>
          <xdr:row>34</xdr:row>
          <xdr:rowOff>184150</xdr:rowOff>
        </xdr:to>
        <xdr:sp macro="" textlink="">
          <xdr:nvSpPr>
            <xdr:cNvPr id="144413" name="Option Button 29" hidden="1">
              <a:extLst>
                <a:ext uri="{63B3BB69-23CF-44E3-9099-C40C66FF867C}">
                  <a14:compatExt spid="_x0000_s144413"/>
                </a:ext>
                <a:ext uri="{FF2B5EF4-FFF2-40B4-BE49-F238E27FC236}">
                  <a16:creationId xmlns:a16="http://schemas.microsoft.com/office/drawing/2014/main" id="{00000000-0008-0000-0500-00001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35</xdr:row>
          <xdr:rowOff>31750</xdr:rowOff>
        </xdr:from>
        <xdr:to>
          <xdr:col>1</xdr:col>
          <xdr:colOff>990600</xdr:colOff>
          <xdr:row>35</xdr:row>
          <xdr:rowOff>184150</xdr:rowOff>
        </xdr:to>
        <xdr:sp macro="" textlink="">
          <xdr:nvSpPr>
            <xdr:cNvPr id="144414" name="Option Button 30" hidden="1">
              <a:extLst>
                <a:ext uri="{63B3BB69-23CF-44E3-9099-C40C66FF867C}">
                  <a14:compatExt spid="_x0000_s144414"/>
                </a:ext>
                <a:ext uri="{FF2B5EF4-FFF2-40B4-BE49-F238E27FC236}">
                  <a16:creationId xmlns:a16="http://schemas.microsoft.com/office/drawing/2014/main" id="{00000000-0008-0000-0500-00001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31750</xdr:rowOff>
        </xdr:from>
        <xdr:to>
          <xdr:col>1</xdr:col>
          <xdr:colOff>990600</xdr:colOff>
          <xdr:row>36</xdr:row>
          <xdr:rowOff>184150</xdr:rowOff>
        </xdr:to>
        <xdr:sp macro="" textlink="">
          <xdr:nvSpPr>
            <xdr:cNvPr id="144415" name="Option Button 31" hidden="1">
              <a:extLst>
                <a:ext uri="{63B3BB69-23CF-44E3-9099-C40C66FF867C}">
                  <a14:compatExt spid="_x0000_s144415"/>
                </a:ext>
                <a:ext uri="{FF2B5EF4-FFF2-40B4-BE49-F238E27FC236}">
                  <a16:creationId xmlns:a16="http://schemas.microsoft.com/office/drawing/2014/main" id="{00000000-0008-0000-0500-00001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37</xdr:row>
          <xdr:rowOff>31750</xdr:rowOff>
        </xdr:from>
        <xdr:to>
          <xdr:col>1</xdr:col>
          <xdr:colOff>990600</xdr:colOff>
          <xdr:row>37</xdr:row>
          <xdr:rowOff>184150</xdr:rowOff>
        </xdr:to>
        <xdr:sp macro="" textlink="">
          <xdr:nvSpPr>
            <xdr:cNvPr id="144416" name="Option Button 32" hidden="1">
              <a:extLst>
                <a:ext uri="{63B3BB69-23CF-44E3-9099-C40C66FF867C}">
                  <a14:compatExt spid="_x0000_s144416"/>
                </a:ext>
                <a:ext uri="{FF2B5EF4-FFF2-40B4-BE49-F238E27FC236}">
                  <a16:creationId xmlns:a16="http://schemas.microsoft.com/office/drawing/2014/main" id="{00000000-0008-0000-0500-00002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38</xdr:row>
          <xdr:rowOff>31750</xdr:rowOff>
        </xdr:from>
        <xdr:to>
          <xdr:col>1</xdr:col>
          <xdr:colOff>990600</xdr:colOff>
          <xdr:row>38</xdr:row>
          <xdr:rowOff>184150</xdr:rowOff>
        </xdr:to>
        <xdr:sp macro="" textlink="">
          <xdr:nvSpPr>
            <xdr:cNvPr id="144417" name="Option Button 33" hidden="1">
              <a:extLst>
                <a:ext uri="{63B3BB69-23CF-44E3-9099-C40C66FF867C}">
                  <a14:compatExt spid="_x0000_s144417"/>
                </a:ext>
                <a:ext uri="{FF2B5EF4-FFF2-40B4-BE49-F238E27FC236}">
                  <a16:creationId xmlns:a16="http://schemas.microsoft.com/office/drawing/2014/main" id="{00000000-0008-0000-0500-00002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39</xdr:row>
          <xdr:rowOff>31750</xdr:rowOff>
        </xdr:from>
        <xdr:to>
          <xdr:col>1</xdr:col>
          <xdr:colOff>990600</xdr:colOff>
          <xdr:row>39</xdr:row>
          <xdr:rowOff>184150</xdr:rowOff>
        </xdr:to>
        <xdr:sp macro="" textlink="">
          <xdr:nvSpPr>
            <xdr:cNvPr id="144418" name="Option Button 34" hidden="1">
              <a:extLst>
                <a:ext uri="{63B3BB69-23CF-44E3-9099-C40C66FF867C}">
                  <a14:compatExt spid="_x0000_s144418"/>
                </a:ext>
                <a:ext uri="{FF2B5EF4-FFF2-40B4-BE49-F238E27FC236}">
                  <a16:creationId xmlns:a16="http://schemas.microsoft.com/office/drawing/2014/main" id="{00000000-0008-0000-0500-00002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40</xdr:row>
          <xdr:rowOff>31750</xdr:rowOff>
        </xdr:from>
        <xdr:to>
          <xdr:col>1</xdr:col>
          <xdr:colOff>990600</xdr:colOff>
          <xdr:row>40</xdr:row>
          <xdr:rowOff>184150</xdr:rowOff>
        </xdr:to>
        <xdr:sp macro="" textlink="">
          <xdr:nvSpPr>
            <xdr:cNvPr id="144419" name="Option Button 35" hidden="1">
              <a:extLst>
                <a:ext uri="{63B3BB69-23CF-44E3-9099-C40C66FF867C}">
                  <a14:compatExt spid="_x0000_s144419"/>
                </a:ext>
                <a:ext uri="{FF2B5EF4-FFF2-40B4-BE49-F238E27FC236}">
                  <a16:creationId xmlns:a16="http://schemas.microsoft.com/office/drawing/2014/main" id="{00000000-0008-0000-0500-00002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41</xdr:row>
          <xdr:rowOff>31750</xdr:rowOff>
        </xdr:from>
        <xdr:to>
          <xdr:col>1</xdr:col>
          <xdr:colOff>990600</xdr:colOff>
          <xdr:row>41</xdr:row>
          <xdr:rowOff>184150</xdr:rowOff>
        </xdr:to>
        <xdr:sp macro="" textlink="">
          <xdr:nvSpPr>
            <xdr:cNvPr id="144420" name="Option Button 36" hidden="1">
              <a:extLst>
                <a:ext uri="{63B3BB69-23CF-44E3-9099-C40C66FF867C}">
                  <a14:compatExt spid="_x0000_s144420"/>
                </a:ext>
                <a:ext uri="{FF2B5EF4-FFF2-40B4-BE49-F238E27FC236}">
                  <a16:creationId xmlns:a16="http://schemas.microsoft.com/office/drawing/2014/main" id="{00000000-0008-0000-0500-00002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42</xdr:row>
          <xdr:rowOff>31750</xdr:rowOff>
        </xdr:from>
        <xdr:to>
          <xdr:col>1</xdr:col>
          <xdr:colOff>990600</xdr:colOff>
          <xdr:row>42</xdr:row>
          <xdr:rowOff>184150</xdr:rowOff>
        </xdr:to>
        <xdr:sp macro="" textlink="">
          <xdr:nvSpPr>
            <xdr:cNvPr id="144421" name="Option Button 37" hidden="1">
              <a:extLst>
                <a:ext uri="{63B3BB69-23CF-44E3-9099-C40C66FF867C}">
                  <a14:compatExt spid="_x0000_s144421"/>
                </a:ext>
                <a:ext uri="{FF2B5EF4-FFF2-40B4-BE49-F238E27FC236}">
                  <a16:creationId xmlns:a16="http://schemas.microsoft.com/office/drawing/2014/main" id="{00000000-0008-0000-0500-00002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43</xdr:row>
          <xdr:rowOff>31750</xdr:rowOff>
        </xdr:from>
        <xdr:to>
          <xdr:col>1</xdr:col>
          <xdr:colOff>990600</xdr:colOff>
          <xdr:row>43</xdr:row>
          <xdr:rowOff>184150</xdr:rowOff>
        </xdr:to>
        <xdr:sp macro="" textlink="">
          <xdr:nvSpPr>
            <xdr:cNvPr id="144422" name="Option Button 38" hidden="1">
              <a:extLst>
                <a:ext uri="{63B3BB69-23CF-44E3-9099-C40C66FF867C}">
                  <a14:compatExt spid="_x0000_s144422"/>
                </a:ext>
                <a:ext uri="{FF2B5EF4-FFF2-40B4-BE49-F238E27FC236}">
                  <a16:creationId xmlns:a16="http://schemas.microsoft.com/office/drawing/2014/main" id="{00000000-0008-0000-0500-00002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44</xdr:row>
          <xdr:rowOff>31750</xdr:rowOff>
        </xdr:from>
        <xdr:to>
          <xdr:col>1</xdr:col>
          <xdr:colOff>990600</xdr:colOff>
          <xdr:row>44</xdr:row>
          <xdr:rowOff>184150</xdr:rowOff>
        </xdr:to>
        <xdr:sp macro="" textlink="">
          <xdr:nvSpPr>
            <xdr:cNvPr id="144423" name="Option Button 39" hidden="1">
              <a:extLst>
                <a:ext uri="{63B3BB69-23CF-44E3-9099-C40C66FF867C}">
                  <a14:compatExt spid="_x0000_s144423"/>
                </a:ext>
                <a:ext uri="{FF2B5EF4-FFF2-40B4-BE49-F238E27FC236}">
                  <a16:creationId xmlns:a16="http://schemas.microsoft.com/office/drawing/2014/main" id="{00000000-0008-0000-0500-00002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45</xdr:row>
          <xdr:rowOff>31750</xdr:rowOff>
        </xdr:from>
        <xdr:to>
          <xdr:col>1</xdr:col>
          <xdr:colOff>990600</xdr:colOff>
          <xdr:row>45</xdr:row>
          <xdr:rowOff>184150</xdr:rowOff>
        </xdr:to>
        <xdr:sp macro="" textlink="">
          <xdr:nvSpPr>
            <xdr:cNvPr id="144424" name="Option Button 40" hidden="1">
              <a:extLst>
                <a:ext uri="{63B3BB69-23CF-44E3-9099-C40C66FF867C}">
                  <a14:compatExt spid="_x0000_s144424"/>
                </a:ext>
                <a:ext uri="{FF2B5EF4-FFF2-40B4-BE49-F238E27FC236}">
                  <a16:creationId xmlns:a16="http://schemas.microsoft.com/office/drawing/2014/main" id="{00000000-0008-0000-0500-00002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46</xdr:row>
          <xdr:rowOff>31750</xdr:rowOff>
        </xdr:from>
        <xdr:to>
          <xdr:col>1</xdr:col>
          <xdr:colOff>990600</xdr:colOff>
          <xdr:row>46</xdr:row>
          <xdr:rowOff>184150</xdr:rowOff>
        </xdr:to>
        <xdr:sp macro="" textlink="">
          <xdr:nvSpPr>
            <xdr:cNvPr id="144425" name="Option Button 41" hidden="1">
              <a:extLst>
                <a:ext uri="{63B3BB69-23CF-44E3-9099-C40C66FF867C}">
                  <a14:compatExt spid="_x0000_s144425"/>
                </a:ext>
                <a:ext uri="{FF2B5EF4-FFF2-40B4-BE49-F238E27FC236}">
                  <a16:creationId xmlns:a16="http://schemas.microsoft.com/office/drawing/2014/main" id="{00000000-0008-0000-0500-00002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47</xdr:row>
          <xdr:rowOff>31750</xdr:rowOff>
        </xdr:from>
        <xdr:to>
          <xdr:col>1</xdr:col>
          <xdr:colOff>990600</xdr:colOff>
          <xdr:row>47</xdr:row>
          <xdr:rowOff>184150</xdr:rowOff>
        </xdr:to>
        <xdr:sp macro="" textlink="">
          <xdr:nvSpPr>
            <xdr:cNvPr id="144426" name="Option Button 42" hidden="1">
              <a:extLst>
                <a:ext uri="{63B3BB69-23CF-44E3-9099-C40C66FF867C}">
                  <a14:compatExt spid="_x0000_s144426"/>
                </a:ext>
                <a:ext uri="{FF2B5EF4-FFF2-40B4-BE49-F238E27FC236}">
                  <a16:creationId xmlns:a16="http://schemas.microsoft.com/office/drawing/2014/main" id="{00000000-0008-0000-0500-00002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48</xdr:row>
          <xdr:rowOff>31750</xdr:rowOff>
        </xdr:from>
        <xdr:to>
          <xdr:col>1</xdr:col>
          <xdr:colOff>990600</xdr:colOff>
          <xdr:row>48</xdr:row>
          <xdr:rowOff>184150</xdr:rowOff>
        </xdr:to>
        <xdr:sp macro="" textlink="">
          <xdr:nvSpPr>
            <xdr:cNvPr id="144427" name="Option Button 43" hidden="1">
              <a:extLst>
                <a:ext uri="{63B3BB69-23CF-44E3-9099-C40C66FF867C}">
                  <a14:compatExt spid="_x0000_s144427"/>
                </a:ext>
                <a:ext uri="{FF2B5EF4-FFF2-40B4-BE49-F238E27FC236}">
                  <a16:creationId xmlns:a16="http://schemas.microsoft.com/office/drawing/2014/main" id="{00000000-0008-0000-0500-00002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49</xdr:row>
          <xdr:rowOff>31750</xdr:rowOff>
        </xdr:from>
        <xdr:to>
          <xdr:col>1</xdr:col>
          <xdr:colOff>990600</xdr:colOff>
          <xdr:row>49</xdr:row>
          <xdr:rowOff>184150</xdr:rowOff>
        </xdr:to>
        <xdr:sp macro="" textlink="">
          <xdr:nvSpPr>
            <xdr:cNvPr id="144428" name="Option Button 44" hidden="1">
              <a:extLst>
                <a:ext uri="{63B3BB69-23CF-44E3-9099-C40C66FF867C}">
                  <a14:compatExt spid="_x0000_s144428"/>
                </a:ext>
                <a:ext uri="{FF2B5EF4-FFF2-40B4-BE49-F238E27FC236}">
                  <a16:creationId xmlns:a16="http://schemas.microsoft.com/office/drawing/2014/main" id="{00000000-0008-0000-0500-00002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50</xdr:row>
          <xdr:rowOff>31750</xdr:rowOff>
        </xdr:from>
        <xdr:to>
          <xdr:col>1</xdr:col>
          <xdr:colOff>990600</xdr:colOff>
          <xdr:row>50</xdr:row>
          <xdr:rowOff>184150</xdr:rowOff>
        </xdr:to>
        <xdr:sp macro="" textlink="">
          <xdr:nvSpPr>
            <xdr:cNvPr id="144429" name="Option Button 45" hidden="1">
              <a:extLst>
                <a:ext uri="{63B3BB69-23CF-44E3-9099-C40C66FF867C}">
                  <a14:compatExt spid="_x0000_s144429"/>
                </a:ext>
                <a:ext uri="{FF2B5EF4-FFF2-40B4-BE49-F238E27FC236}">
                  <a16:creationId xmlns:a16="http://schemas.microsoft.com/office/drawing/2014/main" id="{00000000-0008-0000-0500-00002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51</xdr:row>
          <xdr:rowOff>31750</xdr:rowOff>
        </xdr:from>
        <xdr:to>
          <xdr:col>1</xdr:col>
          <xdr:colOff>990600</xdr:colOff>
          <xdr:row>51</xdr:row>
          <xdr:rowOff>184150</xdr:rowOff>
        </xdr:to>
        <xdr:sp macro="" textlink="">
          <xdr:nvSpPr>
            <xdr:cNvPr id="144430" name="Option Button 46" hidden="1">
              <a:extLst>
                <a:ext uri="{63B3BB69-23CF-44E3-9099-C40C66FF867C}">
                  <a14:compatExt spid="_x0000_s144430"/>
                </a:ext>
                <a:ext uri="{FF2B5EF4-FFF2-40B4-BE49-F238E27FC236}">
                  <a16:creationId xmlns:a16="http://schemas.microsoft.com/office/drawing/2014/main" id="{00000000-0008-0000-0500-00002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52</xdr:row>
          <xdr:rowOff>31750</xdr:rowOff>
        </xdr:from>
        <xdr:to>
          <xdr:col>1</xdr:col>
          <xdr:colOff>990600</xdr:colOff>
          <xdr:row>52</xdr:row>
          <xdr:rowOff>184150</xdr:rowOff>
        </xdr:to>
        <xdr:sp macro="" textlink="">
          <xdr:nvSpPr>
            <xdr:cNvPr id="144431" name="Option Button 47" hidden="1">
              <a:extLst>
                <a:ext uri="{63B3BB69-23CF-44E3-9099-C40C66FF867C}">
                  <a14:compatExt spid="_x0000_s144431"/>
                </a:ext>
                <a:ext uri="{FF2B5EF4-FFF2-40B4-BE49-F238E27FC236}">
                  <a16:creationId xmlns:a16="http://schemas.microsoft.com/office/drawing/2014/main" id="{00000000-0008-0000-0500-00002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53</xdr:row>
          <xdr:rowOff>31750</xdr:rowOff>
        </xdr:from>
        <xdr:to>
          <xdr:col>1</xdr:col>
          <xdr:colOff>990600</xdr:colOff>
          <xdr:row>53</xdr:row>
          <xdr:rowOff>184150</xdr:rowOff>
        </xdr:to>
        <xdr:sp macro="" textlink="">
          <xdr:nvSpPr>
            <xdr:cNvPr id="144432" name="Option Button 48" hidden="1">
              <a:extLst>
                <a:ext uri="{63B3BB69-23CF-44E3-9099-C40C66FF867C}">
                  <a14:compatExt spid="_x0000_s144432"/>
                </a:ext>
                <a:ext uri="{FF2B5EF4-FFF2-40B4-BE49-F238E27FC236}">
                  <a16:creationId xmlns:a16="http://schemas.microsoft.com/office/drawing/2014/main" id="{00000000-0008-0000-0500-00003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54</xdr:row>
          <xdr:rowOff>31750</xdr:rowOff>
        </xdr:from>
        <xdr:to>
          <xdr:col>1</xdr:col>
          <xdr:colOff>990600</xdr:colOff>
          <xdr:row>54</xdr:row>
          <xdr:rowOff>184150</xdr:rowOff>
        </xdr:to>
        <xdr:sp macro="" textlink="">
          <xdr:nvSpPr>
            <xdr:cNvPr id="144433" name="Option Button 49" hidden="1">
              <a:extLst>
                <a:ext uri="{63B3BB69-23CF-44E3-9099-C40C66FF867C}">
                  <a14:compatExt spid="_x0000_s144433"/>
                </a:ext>
                <a:ext uri="{FF2B5EF4-FFF2-40B4-BE49-F238E27FC236}">
                  <a16:creationId xmlns:a16="http://schemas.microsoft.com/office/drawing/2014/main" id="{00000000-0008-0000-0500-00003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55</xdr:row>
          <xdr:rowOff>31750</xdr:rowOff>
        </xdr:from>
        <xdr:to>
          <xdr:col>1</xdr:col>
          <xdr:colOff>990600</xdr:colOff>
          <xdr:row>55</xdr:row>
          <xdr:rowOff>184150</xdr:rowOff>
        </xdr:to>
        <xdr:sp macro="" textlink="">
          <xdr:nvSpPr>
            <xdr:cNvPr id="144434" name="Option Button 50" hidden="1">
              <a:extLst>
                <a:ext uri="{63B3BB69-23CF-44E3-9099-C40C66FF867C}">
                  <a14:compatExt spid="_x0000_s144434"/>
                </a:ext>
                <a:ext uri="{FF2B5EF4-FFF2-40B4-BE49-F238E27FC236}">
                  <a16:creationId xmlns:a16="http://schemas.microsoft.com/office/drawing/2014/main" id="{00000000-0008-0000-0500-00003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56</xdr:row>
          <xdr:rowOff>31750</xdr:rowOff>
        </xdr:from>
        <xdr:to>
          <xdr:col>1</xdr:col>
          <xdr:colOff>990600</xdr:colOff>
          <xdr:row>56</xdr:row>
          <xdr:rowOff>184150</xdr:rowOff>
        </xdr:to>
        <xdr:sp macro="" textlink="">
          <xdr:nvSpPr>
            <xdr:cNvPr id="144435" name="Option Button 51" hidden="1">
              <a:extLst>
                <a:ext uri="{63B3BB69-23CF-44E3-9099-C40C66FF867C}">
                  <a14:compatExt spid="_x0000_s144435"/>
                </a:ext>
                <a:ext uri="{FF2B5EF4-FFF2-40B4-BE49-F238E27FC236}">
                  <a16:creationId xmlns:a16="http://schemas.microsoft.com/office/drawing/2014/main" id="{00000000-0008-0000-0500-00003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57</xdr:row>
          <xdr:rowOff>31750</xdr:rowOff>
        </xdr:from>
        <xdr:to>
          <xdr:col>1</xdr:col>
          <xdr:colOff>990600</xdr:colOff>
          <xdr:row>57</xdr:row>
          <xdr:rowOff>184150</xdr:rowOff>
        </xdr:to>
        <xdr:sp macro="" textlink="">
          <xdr:nvSpPr>
            <xdr:cNvPr id="144436" name="Option Button 52" hidden="1">
              <a:extLst>
                <a:ext uri="{63B3BB69-23CF-44E3-9099-C40C66FF867C}">
                  <a14:compatExt spid="_x0000_s144436"/>
                </a:ext>
                <a:ext uri="{FF2B5EF4-FFF2-40B4-BE49-F238E27FC236}">
                  <a16:creationId xmlns:a16="http://schemas.microsoft.com/office/drawing/2014/main" id="{00000000-0008-0000-0500-00003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58</xdr:row>
          <xdr:rowOff>31750</xdr:rowOff>
        </xdr:from>
        <xdr:to>
          <xdr:col>1</xdr:col>
          <xdr:colOff>990600</xdr:colOff>
          <xdr:row>58</xdr:row>
          <xdr:rowOff>184150</xdr:rowOff>
        </xdr:to>
        <xdr:sp macro="" textlink="">
          <xdr:nvSpPr>
            <xdr:cNvPr id="144437" name="Option Button 53" hidden="1">
              <a:extLst>
                <a:ext uri="{63B3BB69-23CF-44E3-9099-C40C66FF867C}">
                  <a14:compatExt spid="_x0000_s144437"/>
                </a:ext>
                <a:ext uri="{FF2B5EF4-FFF2-40B4-BE49-F238E27FC236}">
                  <a16:creationId xmlns:a16="http://schemas.microsoft.com/office/drawing/2014/main" id="{00000000-0008-0000-0500-00003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59</xdr:row>
          <xdr:rowOff>31750</xdr:rowOff>
        </xdr:from>
        <xdr:to>
          <xdr:col>1</xdr:col>
          <xdr:colOff>990600</xdr:colOff>
          <xdr:row>59</xdr:row>
          <xdr:rowOff>184150</xdr:rowOff>
        </xdr:to>
        <xdr:sp macro="" textlink="">
          <xdr:nvSpPr>
            <xdr:cNvPr id="144438" name="Option Button 54" hidden="1">
              <a:extLst>
                <a:ext uri="{63B3BB69-23CF-44E3-9099-C40C66FF867C}">
                  <a14:compatExt spid="_x0000_s144438"/>
                </a:ext>
                <a:ext uri="{FF2B5EF4-FFF2-40B4-BE49-F238E27FC236}">
                  <a16:creationId xmlns:a16="http://schemas.microsoft.com/office/drawing/2014/main" id="{00000000-0008-0000-0500-00003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60</xdr:row>
          <xdr:rowOff>31750</xdr:rowOff>
        </xdr:from>
        <xdr:to>
          <xdr:col>1</xdr:col>
          <xdr:colOff>990600</xdr:colOff>
          <xdr:row>60</xdr:row>
          <xdr:rowOff>184150</xdr:rowOff>
        </xdr:to>
        <xdr:sp macro="" textlink="">
          <xdr:nvSpPr>
            <xdr:cNvPr id="144439" name="Option Button 55" hidden="1">
              <a:extLst>
                <a:ext uri="{63B3BB69-23CF-44E3-9099-C40C66FF867C}">
                  <a14:compatExt spid="_x0000_s144439"/>
                </a:ext>
                <a:ext uri="{FF2B5EF4-FFF2-40B4-BE49-F238E27FC236}">
                  <a16:creationId xmlns:a16="http://schemas.microsoft.com/office/drawing/2014/main" id="{00000000-0008-0000-0500-00003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61</xdr:row>
          <xdr:rowOff>31750</xdr:rowOff>
        </xdr:from>
        <xdr:to>
          <xdr:col>1</xdr:col>
          <xdr:colOff>990600</xdr:colOff>
          <xdr:row>61</xdr:row>
          <xdr:rowOff>184150</xdr:rowOff>
        </xdr:to>
        <xdr:sp macro="" textlink="">
          <xdr:nvSpPr>
            <xdr:cNvPr id="144440" name="Option Button 56" hidden="1">
              <a:extLst>
                <a:ext uri="{63B3BB69-23CF-44E3-9099-C40C66FF867C}">
                  <a14:compatExt spid="_x0000_s144440"/>
                </a:ext>
                <a:ext uri="{FF2B5EF4-FFF2-40B4-BE49-F238E27FC236}">
                  <a16:creationId xmlns:a16="http://schemas.microsoft.com/office/drawing/2014/main" id="{00000000-0008-0000-0500-00003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62</xdr:row>
          <xdr:rowOff>31750</xdr:rowOff>
        </xdr:from>
        <xdr:to>
          <xdr:col>1</xdr:col>
          <xdr:colOff>990600</xdr:colOff>
          <xdr:row>62</xdr:row>
          <xdr:rowOff>184150</xdr:rowOff>
        </xdr:to>
        <xdr:sp macro="" textlink="">
          <xdr:nvSpPr>
            <xdr:cNvPr id="144441" name="Option Button 57" hidden="1">
              <a:extLst>
                <a:ext uri="{63B3BB69-23CF-44E3-9099-C40C66FF867C}">
                  <a14:compatExt spid="_x0000_s144441"/>
                </a:ext>
                <a:ext uri="{FF2B5EF4-FFF2-40B4-BE49-F238E27FC236}">
                  <a16:creationId xmlns:a16="http://schemas.microsoft.com/office/drawing/2014/main" id="{00000000-0008-0000-0500-00003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63</xdr:row>
          <xdr:rowOff>31750</xdr:rowOff>
        </xdr:from>
        <xdr:to>
          <xdr:col>1</xdr:col>
          <xdr:colOff>984250</xdr:colOff>
          <xdr:row>63</xdr:row>
          <xdr:rowOff>184150</xdr:rowOff>
        </xdr:to>
        <xdr:sp macro="" textlink="">
          <xdr:nvSpPr>
            <xdr:cNvPr id="144442" name="Option Button 58" hidden="1">
              <a:extLst>
                <a:ext uri="{63B3BB69-23CF-44E3-9099-C40C66FF867C}">
                  <a14:compatExt spid="_x0000_s144442"/>
                </a:ext>
                <a:ext uri="{FF2B5EF4-FFF2-40B4-BE49-F238E27FC236}">
                  <a16:creationId xmlns:a16="http://schemas.microsoft.com/office/drawing/2014/main" id="{00000000-0008-0000-0500-00003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64</xdr:row>
          <xdr:rowOff>31750</xdr:rowOff>
        </xdr:from>
        <xdr:to>
          <xdr:col>1</xdr:col>
          <xdr:colOff>990600</xdr:colOff>
          <xdr:row>64</xdr:row>
          <xdr:rowOff>184150</xdr:rowOff>
        </xdr:to>
        <xdr:sp macro="" textlink="">
          <xdr:nvSpPr>
            <xdr:cNvPr id="144443" name="Option Button 59" hidden="1">
              <a:extLst>
                <a:ext uri="{63B3BB69-23CF-44E3-9099-C40C66FF867C}">
                  <a14:compatExt spid="_x0000_s144443"/>
                </a:ext>
                <a:ext uri="{FF2B5EF4-FFF2-40B4-BE49-F238E27FC236}">
                  <a16:creationId xmlns:a16="http://schemas.microsoft.com/office/drawing/2014/main" id="{00000000-0008-0000-0500-00003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65</xdr:row>
          <xdr:rowOff>31750</xdr:rowOff>
        </xdr:from>
        <xdr:to>
          <xdr:col>1</xdr:col>
          <xdr:colOff>990600</xdr:colOff>
          <xdr:row>65</xdr:row>
          <xdr:rowOff>184150</xdr:rowOff>
        </xdr:to>
        <xdr:sp macro="" textlink="">
          <xdr:nvSpPr>
            <xdr:cNvPr id="144444" name="Option Button 60" hidden="1">
              <a:extLst>
                <a:ext uri="{63B3BB69-23CF-44E3-9099-C40C66FF867C}">
                  <a14:compatExt spid="_x0000_s144444"/>
                </a:ext>
                <a:ext uri="{FF2B5EF4-FFF2-40B4-BE49-F238E27FC236}">
                  <a16:creationId xmlns:a16="http://schemas.microsoft.com/office/drawing/2014/main" id="{00000000-0008-0000-0500-00003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66</xdr:row>
          <xdr:rowOff>31750</xdr:rowOff>
        </xdr:from>
        <xdr:to>
          <xdr:col>1</xdr:col>
          <xdr:colOff>990600</xdr:colOff>
          <xdr:row>66</xdr:row>
          <xdr:rowOff>184150</xdr:rowOff>
        </xdr:to>
        <xdr:sp macro="" textlink="">
          <xdr:nvSpPr>
            <xdr:cNvPr id="144445" name="Option Button 61" hidden="1">
              <a:extLst>
                <a:ext uri="{63B3BB69-23CF-44E3-9099-C40C66FF867C}">
                  <a14:compatExt spid="_x0000_s144445"/>
                </a:ext>
                <a:ext uri="{FF2B5EF4-FFF2-40B4-BE49-F238E27FC236}">
                  <a16:creationId xmlns:a16="http://schemas.microsoft.com/office/drawing/2014/main" id="{00000000-0008-0000-0500-00003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67</xdr:row>
          <xdr:rowOff>31750</xdr:rowOff>
        </xdr:from>
        <xdr:to>
          <xdr:col>1</xdr:col>
          <xdr:colOff>990600</xdr:colOff>
          <xdr:row>67</xdr:row>
          <xdr:rowOff>184150</xdr:rowOff>
        </xdr:to>
        <xdr:sp macro="" textlink="">
          <xdr:nvSpPr>
            <xdr:cNvPr id="144446" name="Option Button 62" hidden="1">
              <a:extLst>
                <a:ext uri="{63B3BB69-23CF-44E3-9099-C40C66FF867C}">
                  <a14:compatExt spid="_x0000_s144446"/>
                </a:ext>
                <a:ext uri="{FF2B5EF4-FFF2-40B4-BE49-F238E27FC236}">
                  <a16:creationId xmlns:a16="http://schemas.microsoft.com/office/drawing/2014/main" id="{00000000-0008-0000-0500-00003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68</xdr:row>
          <xdr:rowOff>31750</xdr:rowOff>
        </xdr:from>
        <xdr:to>
          <xdr:col>1</xdr:col>
          <xdr:colOff>990600</xdr:colOff>
          <xdr:row>68</xdr:row>
          <xdr:rowOff>184150</xdr:rowOff>
        </xdr:to>
        <xdr:sp macro="" textlink="">
          <xdr:nvSpPr>
            <xdr:cNvPr id="144447" name="Option Button 63" hidden="1">
              <a:extLst>
                <a:ext uri="{63B3BB69-23CF-44E3-9099-C40C66FF867C}">
                  <a14:compatExt spid="_x0000_s144447"/>
                </a:ext>
                <a:ext uri="{FF2B5EF4-FFF2-40B4-BE49-F238E27FC236}">
                  <a16:creationId xmlns:a16="http://schemas.microsoft.com/office/drawing/2014/main" id="{00000000-0008-0000-0500-00003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69</xdr:row>
          <xdr:rowOff>31750</xdr:rowOff>
        </xdr:from>
        <xdr:to>
          <xdr:col>1</xdr:col>
          <xdr:colOff>990600</xdr:colOff>
          <xdr:row>69</xdr:row>
          <xdr:rowOff>184150</xdr:rowOff>
        </xdr:to>
        <xdr:sp macro="" textlink="">
          <xdr:nvSpPr>
            <xdr:cNvPr id="144448" name="Option Button 64" hidden="1">
              <a:extLst>
                <a:ext uri="{63B3BB69-23CF-44E3-9099-C40C66FF867C}">
                  <a14:compatExt spid="_x0000_s144448"/>
                </a:ext>
                <a:ext uri="{FF2B5EF4-FFF2-40B4-BE49-F238E27FC236}">
                  <a16:creationId xmlns:a16="http://schemas.microsoft.com/office/drawing/2014/main" id="{00000000-0008-0000-0500-00004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70</xdr:row>
          <xdr:rowOff>31750</xdr:rowOff>
        </xdr:from>
        <xdr:to>
          <xdr:col>1</xdr:col>
          <xdr:colOff>990600</xdr:colOff>
          <xdr:row>70</xdr:row>
          <xdr:rowOff>184150</xdr:rowOff>
        </xdr:to>
        <xdr:sp macro="" textlink="">
          <xdr:nvSpPr>
            <xdr:cNvPr id="144449" name="Option Button 65" hidden="1">
              <a:extLst>
                <a:ext uri="{63B3BB69-23CF-44E3-9099-C40C66FF867C}">
                  <a14:compatExt spid="_x0000_s144449"/>
                </a:ext>
                <a:ext uri="{FF2B5EF4-FFF2-40B4-BE49-F238E27FC236}">
                  <a16:creationId xmlns:a16="http://schemas.microsoft.com/office/drawing/2014/main" id="{00000000-0008-0000-0500-00004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71</xdr:row>
          <xdr:rowOff>31750</xdr:rowOff>
        </xdr:from>
        <xdr:to>
          <xdr:col>1</xdr:col>
          <xdr:colOff>990600</xdr:colOff>
          <xdr:row>71</xdr:row>
          <xdr:rowOff>184150</xdr:rowOff>
        </xdr:to>
        <xdr:sp macro="" textlink="">
          <xdr:nvSpPr>
            <xdr:cNvPr id="144450" name="Option Button 66" hidden="1">
              <a:extLst>
                <a:ext uri="{63B3BB69-23CF-44E3-9099-C40C66FF867C}">
                  <a14:compatExt spid="_x0000_s144450"/>
                </a:ext>
                <a:ext uri="{FF2B5EF4-FFF2-40B4-BE49-F238E27FC236}">
                  <a16:creationId xmlns:a16="http://schemas.microsoft.com/office/drawing/2014/main" id="{00000000-0008-0000-0500-00004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72</xdr:row>
          <xdr:rowOff>31750</xdr:rowOff>
        </xdr:from>
        <xdr:to>
          <xdr:col>1</xdr:col>
          <xdr:colOff>990600</xdr:colOff>
          <xdr:row>72</xdr:row>
          <xdr:rowOff>184150</xdr:rowOff>
        </xdr:to>
        <xdr:sp macro="" textlink="">
          <xdr:nvSpPr>
            <xdr:cNvPr id="144451" name="Option Button 67" hidden="1">
              <a:extLst>
                <a:ext uri="{63B3BB69-23CF-44E3-9099-C40C66FF867C}">
                  <a14:compatExt spid="_x0000_s144451"/>
                </a:ext>
                <a:ext uri="{FF2B5EF4-FFF2-40B4-BE49-F238E27FC236}">
                  <a16:creationId xmlns:a16="http://schemas.microsoft.com/office/drawing/2014/main" id="{00000000-0008-0000-0500-00004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73</xdr:row>
          <xdr:rowOff>31750</xdr:rowOff>
        </xdr:from>
        <xdr:to>
          <xdr:col>1</xdr:col>
          <xdr:colOff>990600</xdr:colOff>
          <xdr:row>73</xdr:row>
          <xdr:rowOff>184150</xdr:rowOff>
        </xdr:to>
        <xdr:sp macro="" textlink="">
          <xdr:nvSpPr>
            <xdr:cNvPr id="144452" name="Option Button 68" hidden="1">
              <a:extLst>
                <a:ext uri="{63B3BB69-23CF-44E3-9099-C40C66FF867C}">
                  <a14:compatExt spid="_x0000_s144452"/>
                </a:ext>
                <a:ext uri="{FF2B5EF4-FFF2-40B4-BE49-F238E27FC236}">
                  <a16:creationId xmlns:a16="http://schemas.microsoft.com/office/drawing/2014/main" id="{00000000-0008-0000-0500-00004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74</xdr:row>
          <xdr:rowOff>31750</xdr:rowOff>
        </xdr:from>
        <xdr:to>
          <xdr:col>1</xdr:col>
          <xdr:colOff>990600</xdr:colOff>
          <xdr:row>74</xdr:row>
          <xdr:rowOff>184150</xdr:rowOff>
        </xdr:to>
        <xdr:sp macro="" textlink="">
          <xdr:nvSpPr>
            <xdr:cNvPr id="144453" name="Option Button 69" hidden="1">
              <a:extLst>
                <a:ext uri="{63B3BB69-23CF-44E3-9099-C40C66FF867C}">
                  <a14:compatExt spid="_x0000_s144453"/>
                </a:ext>
                <a:ext uri="{FF2B5EF4-FFF2-40B4-BE49-F238E27FC236}">
                  <a16:creationId xmlns:a16="http://schemas.microsoft.com/office/drawing/2014/main" id="{00000000-0008-0000-0500-00004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75</xdr:row>
          <xdr:rowOff>31750</xdr:rowOff>
        </xdr:from>
        <xdr:to>
          <xdr:col>1</xdr:col>
          <xdr:colOff>990600</xdr:colOff>
          <xdr:row>75</xdr:row>
          <xdr:rowOff>184150</xdr:rowOff>
        </xdr:to>
        <xdr:sp macro="" textlink="">
          <xdr:nvSpPr>
            <xdr:cNvPr id="144454" name="Option Button 70" hidden="1">
              <a:extLst>
                <a:ext uri="{63B3BB69-23CF-44E3-9099-C40C66FF867C}">
                  <a14:compatExt spid="_x0000_s144454"/>
                </a:ext>
                <a:ext uri="{FF2B5EF4-FFF2-40B4-BE49-F238E27FC236}">
                  <a16:creationId xmlns:a16="http://schemas.microsoft.com/office/drawing/2014/main" id="{00000000-0008-0000-0500-00004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76</xdr:row>
          <xdr:rowOff>31750</xdr:rowOff>
        </xdr:from>
        <xdr:to>
          <xdr:col>1</xdr:col>
          <xdr:colOff>990600</xdr:colOff>
          <xdr:row>76</xdr:row>
          <xdr:rowOff>184150</xdr:rowOff>
        </xdr:to>
        <xdr:sp macro="" textlink="">
          <xdr:nvSpPr>
            <xdr:cNvPr id="144455" name="Option Button 71" hidden="1">
              <a:extLst>
                <a:ext uri="{63B3BB69-23CF-44E3-9099-C40C66FF867C}">
                  <a14:compatExt spid="_x0000_s144455"/>
                </a:ext>
                <a:ext uri="{FF2B5EF4-FFF2-40B4-BE49-F238E27FC236}">
                  <a16:creationId xmlns:a16="http://schemas.microsoft.com/office/drawing/2014/main" id="{00000000-0008-0000-0500-00004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77</xdr:row>
          <xdr:rowOff>31750</xdr:rowOff>
        </xdr:from>
        <xdr:to>
          <xdr:col>1</xdr:col>
          <xdr:colOff>990600</xdr:colOff>
          <xdr:row>77</xdr:row>
          <xdr:rowOff>184150</xdr:rowOff>
        </xdr:to>
        <xdr:sp macro="" textlink="">
          <xdr:nvSpPr>
            <xdr:cNvPr id="144456" name="Option Button 72" hidden="1">
              <a:extLst>
                <a:ext uri="{63B3BB69-23CF-44E3-9099-C40C66FF867C}">
                  <a14:compatExt spid="_x0000_s144456"/>
                </a:ext>
                <a:ext uri="{FF2B5EF4-FFF2-40B4-BE49-F238E27FC236}">
                  <a16:creationId xmlns:a16="http://schemas.microsoft.com/office/drawing/2014/main" id="{00000000-0008-0000-0500-00004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78</xdr:row>
          <xdr:rowOff>31750</xdr:rowOff>
        </xdr:from>
        <xdr:to>
          <xdr:col>1</xdr:col>
          <xdr:colOff>990600</xdr:colOff>
          <xdr:row>78</xdr:row>
          <xdr:rowOff>184150</xdr:rowOff>
        </xdr:to>
        <xdr:sp macro="" textlink="">
          <xdr:nvSpPr>
            <xdr:cNvPr id="144457" name="Option Button 73" hidden="1">
              <a:extLst>
                <a:ext uri="{63B3BB69-23CF-44E3-9099-C40C66FF867C}">
                  <a14:compatExt spid="_x0000_s144457"/>
                </a:ext>
                <a:ext uri="{FF2B5EF4-FFF2-40B4-BE49-F238E27FC236}">
                  <a16:creationId xmlns:a16="http://schemas.microsoft.com/office/drawing/2014/main" id="{00000000-0008-0000-0500-00004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79</xdr:row>
          <xdr:rowOff>31750</xdr:rowOff>
        </xdr:from>
        <xdr:to>
          <xdr:col>1</xdr:col>
          <xdr:colOff>990600</xdr:colOff>
          <xdr:row>79</xdr:row>
          <xdr:rowOff>184150</xdr:rowOff>
        </xdr:to>
        <xdr:sp macro="" textlink="">
          <xdr:nvSpPr>
            <xdr:cNvPr id="144458" name="Option Button 74" hidden="1">
              <a:extLst>
                <a:ext uri="{63B3BB69-23CF-44E3-9099-C40C66FF867C}">
                  <a14:compatExt spid="_x0000_s144458"/>
                </a:ext>
                <a:ext uri="{FF2B5EF4-FFF2-40B4-BE49-F238E27FC236}">
                  <a16:creationId xmlns:a16="http://schemas.microsoft.com/office/drawing/2014/main" id="{00000000-0008-0000-0500-00004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80</xdr:row>
          <xdr:rowOff>31750</xdr:rowOff>
        </xdr:from>
        <xdr:to>
          <xdr:col>1</xdr:col>
          <xdr:colOff>990600</xdr:colOff>
          <xdr:row>80</xdr:row>
          <xdr:rowOff>184150</xdr:rowOff>
        </xdr:to>
        <xdr:sp macro="" textlink="">
          <xdr:nvSpPr>
            <xdr:cNvPr id="144459" name="Option Button 75" hidden="1">
              <a:extLst>
                <a:ext uri="{63B3BB69-23CF-44E3-9099-C40C66FF867C}">
                  <a14:compatExt spid="_x0000_s144459"/>
                </a:ext>
                <a:ext uri="{FF2B5EF4-FFF2-40B4-BE49-F238E27FC236}">
                  <a16:creationId xmlns:a16="http://schemas.microsoft.com/office/drawing/2014/main" id="{00000000-0008-0000-0500-00004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81</xdr:row>
          <xdr:rowOff>31750</xdr:rowOff>
        </xdr:from>
        <xdr:to>
          <xdr:col>1</xdr:col>
          <xdr:colOff>990600</xdr:colOff>
          <xdr:row>81</xdr:row>
          <xdr:rowOff>184150</xdr:rowOff>
        </xdr:to>
        <xdr:sp macro="" textlink="">
          <xdr:nvSpPr>
            <xdr:cNvPr id="144460" name="Option Button 76" hidden="1">
              <a:extLst>
                <a:ext uri="{63B3BB69-23CF-44E3-9099-C40C66FF867C}">
                  <a14:compatExt spid="_x0000_s144460"/>
                </a:ext>
                <a:ext uri="{FF2B5EF4-FFF2-40B4-BE49-F238E27FC236}">
                  <a16:creationId xmlns:a16="http://schemas.microsoft.com/office/drawing/2014/main" id="{00000000-0008-0000-0500-00004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82</xdr:row>
          <xdr:rowOff>31750</xdr:rowOff>
        </xdr:from>
        <xdr:to>
          <xdr:col>1</xdr:col>
          <xdr:colOff>990600</xdr:colOff>
          <xdr:row>82</xdr:row>
          <xdr:rowOff>184150</xdr:rowOff>
        </xdr:to>
        <xdr:sp macro="" textlink="">
          <xdr:nvSpPr>
            <xdr:cNvPr id="144461" name="Option Button 77" hidden="1">
              <a:extLst>
                <a:ext uri="{63B3BB69-23CF-44E3-9099-C40C66FF867C}">
                  <a14:compatExt spid="_x0000_s144461"/>
                </a:ext>
                <a:ext uri="{FF2B5EF4-FFF2-40B4-BE49-F238E27FC236}">
                  <a16:creationId xmlns:a16="http://schemas.microsoft.com/office/drawing/2014/main" id="{00000000-0008-0000-0500-00004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83</xdr:row>
          <xdr:rowOff>31750</xdr:rowOff>
        </xdr:from>
        <xdr:to>
          <xdr:col>1</xdr:col>
          <xdr:colOff>990600</xdr:colOff>
          <xdr:row>83</xdr:row>
          <xdr:rowOff>184150</xdr:rowOff>
        </xdr:to>
        <xdr:sp macro="" textlink="">
          <xdr:nvSpPr>
            <xdr:cNvPr id="144462" name="Option Button 78" hidden="1">
              <a:extLst>
                <a:ext uri="{63B3BB69-23CF-44E3-9099-C40C66FF867C}">
                  <a14:compatExt spid="_x0000_s144462"/>
                </a:ext>
                <a:ext uri="{FF2B5EF4-FFF2-40B4-BE49-F238E27FC236}">
                  <a16:creationId xmlns:a16="http://schemas.microsoft.com/office/drawing/2014/main" id="{00000000-0008-0000-0500-00004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84</xdr:row>
          <xdr:rowOff>31750</xdr:rowOff>
        </xdr:from>
        <xdr:to>
          <xdr:col>1</xdr:col>
          <xdr:colOff>990600</xdr:colOff>
          <xdr:row>84</xdr:row>
          <xdr:rowOff>184150</xdr:rowOff>
        </xdr:to>
        <xdr:sp macro="" textlink="">
          <xdr:nvSpPr>
            <xdr:cNvPr id="144463" name="Option Button 79" hidden="1">
              <a:extLst>
                <a:ext uri="{63B3BB69-23CF-44E3-9099-C40C66FF867C}">
                  <a14:compatExt spid="_x0000_s144463"/>
                </a:ext>
                <a:ext uri="{FF2B5EF4-FFF2-40B4-BE49-F238E27FC236}">
                  <a16:creationId xmlns:a16="http://schemas.microsoft.com/office/drawing/2014/main" id="{00000000-0008-0000-0500-00004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85</xdr:row>
          <xdr:rowOff>31750</xdr:rowOff>
        </xdr:from>
        <xdr:to>
          <xdr:col>1</xdr:col>
          <xdr:colOff>990600</xdr:colOff>
          <xdr:row>85</xdr:row>
          <xdr:rowOff>184150</xdr:rowOff>
        </xdr:to>
        <xdr:sp macro="" textlink="">
          <xdr:nvSpPr>
            <xdr:cNvPr id="144464" name="Option Button 80" hidden="1">
              <a:extLst>
                <a:ext uri="{63B3BB69-23CF-44E3-9099-C40C66FF867C}">
                  <a14:compatExt spid="_x0000_s144464"/>
                </a:ext>
                <a:ext uri="{FF2B5EF4-FFF2-40B4-BE49-F238E27FC236}">
                  <a16:creationId xmlns:a16="http://schemas.microsoft.com/office/drawing/2014/main" id="{00000000-0008-0000-0500-00005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86</xdr:row>
          <xdr:rowOff>31750</xdr:rowOff>
        </xdr:from>
        <xdr:to>
          <xdr:col>1</xdr:col>
          <xdr:colOff>990600</xdr:colOff>
          <xdr:row>86</xdr:row>
          <xdr:rowOff>184150</xdr:rowOff>
        </xdr:to>
        <xdr:sp macro="" textlink="">
          <xdr:nvSpPr>
            <xdr:cNvPr id="144465" name="Option Button 81" hidden="1">
              <a:extLst>
                <a:ext uri="{63B3BB69-23CF-44E3-9099-C40C66FF867C}">
                  <a14:compatExt spid="_x0000_s144465"/>
                </a:ext>
                <a:ext uri="{FF2B5EF4-FFF2-40B4-BE49-F238E27FC236}">
                  <a16:creationId xmlns:a16="http://schemas.microsoft.com/office/drawing/2014/main" id="{00000000-0008-0000-0500-00005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87</xdr:row>
          <xdr:rowOff>31750</xdr:rowOff>
        </xdr:from>
        <xdr:to>
          <xdr:col>1</xdr:col>
          <xdr:colOff>990600</xdr:colOff>
          <xdr:row>87</xdr:row>
          <xdr:rowOff>184150</xdr:rowOff>
        </xdr:to>
        <xdr:sp macro="" textlink="">
          <xdr:nvSpPr>
            <xdr:cNvPr id="144466" name="Option Button 82" hidden="1">
              <a:extLst>
                <a:ext uri="{63B3BB69-23CF-44E3-9099-C40C66FF867C}">
                  <a14:compatExt spid="_x0000_s144466"/>
                </a:ext>
                <a:ext uri="{FF2B5EF4-FFF2-40B4-BE49-F238E27FC236}">
                  <a16:creationId xmlns:a16="http://schemas.microsoft.com/office/drawing/2014/main" id="{00000000-0008-0000-0500-00005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88</xdr:row>
          <xdr:rowOff>31750</xdr:rowOff>
        </xdr:from>
        <xdr:to>
          <xdr:col>1</xdr:col>
          <xdr:colOff>990600</xdr:colOff>
          <xdr:row>88</xdr:row>
          <xdr:rowOff>184150</xdr:rowOff>
        </xdr:to>
        <xdr:sp macro="" textlink="">
          <xdr:nvSpPr>
            <xdr:cNvPr id="144467" name="Option Button 83" hidden="1">
              <a:extLst>
                <a:ext uri="{63B3BB69-23CF-44E3-9099-C40C66FF867C}">
                  <a14:compatExt spid="_x0000_s144467"/>
                </a:ext>
                <a:ext uri="{FF2B5EF4-FFF2-40B4-BE49-F238E27FC236}">
                  <a16:creationId xmlns:a16="http://schemas.microsoft.com/office/drawing/2014/main" id="{00000000-0008-0000-0500-00005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89</xdr:row>
          <xdr:rowOff>31750</xdr:rowOff>
        </xdr:from>
        <xdr:to>
          <xdr:col>1</xdr:col>
          <xdr:colOff>990600</xdr:colOff>
          <xdr:row>89</xdr:row>
          <xdr:rowOff>184150</xdr:rowOff>
        </xdr:to>
        <xdr:sp macro="" textlink="">
          <xdr:nvSpPr>
            <xdr:cNvPr id="144468" name="Option Button 84" hidden="1">
              <a:extLst>
                <a:ext uri="{63B3BB69-23CF-44E3-9099-C40C66FF867C}">
                  <a14:compatExt spid="_x0000_s144468"/>
                </a:ext>
                <a:ext uri="{FF2B5EF4-FFF2-40B4-BE49-F238E27FC236}">
                  <a16:creationId xmlns:a16="http://schemas.microsoft.com/office/drawing/2014/main" id="{00000000-0008-0000-0500-00005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90</xdr:row>
          <xdr:rowOff>31750</xdr:rowOff>
        </xdr:from>
        <xdr:to>
          <xdr:col>1</xdr:col>
          <xdr:colOff>990600</xdr:colOff>
          <xdr:row>90</xdr:row>
          <xdr:rowOff>184150</xdr:rowOff>
        </xdr:to>
        <xdr:sp macro="" textlink="">
          <xdr:nvSpPr>
            <xdr:cNvPr id="144469" name="Option Button 85" hidden="1">
              <a:extLst>
                <a:ext uri="{63B3BB69-23CF-44E3-9099-C40C66FF867C}">
                  <a14:compatExt spid="_x0000_s144469"/>
                </a:ext>
                <a:ext uri="{FF2B5EF4-FFF2-40B4-BE49-F238E27FC236}">
                  <a16:creationId xmlns:a16="http://schemas.microsoft.com/office/drawing/2014/main" id="{00000000-0008-0000-0500-00005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91</xdr:row>
          <xdr:rowOff>31750</xdr:rowOff>
        </xdr:from>
        <xdr:to>
          <xdr:col>1</xdr:col>
          <xdr:colOff>990600</xdr:colOff>
          <xdr:row>91</xdr:row>
          <xdr:rowOff>184150</xdr:rowOff>
        </xdr:to>
        <xdr:sp macro="" textlink="">
          <xdr:nvSpPr>
            <xdr:cNvPr id="144470" name="Option Button 86" hidden="1">
              <a:extLst>
                <a:ext uri="{63B3BB69-23CF-44E3-9099-C40C66FF867C}">
                  <a14:compatExt spid="_x0000_s144470"/>
                </a:ext>
                <a:ext uri="{FF2B5EF4-FFF2-40B4-BE49-F238E27FC236}">
                  <a16:creationId xmlns:a16="http://schemas.microsoft.com/office/drawing/2014/main" id="{00000000-0008-0000-0500-00005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92</xdr:row>
          <xdr:rowOff>31750</xdr:rowOff>
        </xdr:from>
        <xdr:to>
          <xdr:col>1</xdr:col>
          <xdr:colOff>990600</xdr:colOff>
          <xdr:row>92</xdr:row>
          <xdr:rowOff>184150</xdr:rowOff>
        </xdr:to>
        <xdr:sp macro="" textlink="">
          <xdr:nvSpPr>
            <xdr:cNvPr id="144471" name="Option Button 87" hidden="1">
              <a:extLst>
                <a:ext uri="{63B3BB69-23CF-44E3-9099-C40C66FF867C}">
                  <a14:compatExt spid="_x0000_s144471"/>
                </a:ext>
                <a:ext uri="{FF2B5EF4-FFF2-40B4-BE49-F238E27FC236}">
                  <a16:creationId xmlns:a16="http://schemas.microsoft.com/office/drawing/2014/main" id="{00000000-0008-0000-0500-00005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93</xdr:row>
          <xdr:rowOff>31750</xdr:rowOff>
        </xdr:from>
        <xdr:to>
          <xdr:col>1</xdr:col>
          <xdr:colOff>990600</xdr:colOff>
          <xdr:row>93</xdr:row>
          <xdr:rowOff>184150</xdr:rowOff>
        </xdr:to>
        <xdr:sp macro="" textlink="">
          <xdr:nvSpPr>
            <xdr:cNvPr id="144472" name="Option Button 88" hidden="1">
              <a:extLst>
                <a:ext uri="{63B3BB69-23CF-44E3-9099-C40C66FF867C}">
                  <a14:compatExt spid="_x0000_s144472"/>
                </a:ext>
                <a:ext uri="{FF2B5EF4-FFF2-40B4-BE49-F238E27FC236}">
                  <a16:creationId xmlns:a16="http://schemas.microsoft.com/office/drawing/2014/main" id="{00000000-0008-0000-0500-00005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94</xdr:row>
          <xdr:rowOff>31750</xdr:rowOff>
        </xdr:from>
        <xdr:to>
          <xdr:col>1</xdr:col>
          <xdr:colOff>984250</xdr:colOff>
          <xdr:row>94</xdr:row>
          <xdr:rowOff>184150</xdr:rowOff>
        </xdr:to>
        <xdr:sp macro="" textlink="">
          <xdr:nvSpPr>
            <xdr:cNvPr id="144473" name="Option Button 89" hidden="1">
              <a:extLst>
                <a:ext uri="{63B3BB69-23CF-44E3-9099-C40C66FF867C}">
                  <a14:compatExt spid="_x0000_s144473"/>
                </a:ext>
                <a:ext uri="{FF2B5EF4-FFF2-40B4-BE49-F238E27FC236}">
                  <a16:creationId xmlns:a16="http://schemas.microsoft.com/office/drawing/2014/main" id="{00000000-0008-0000-0500-00005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95</xdr:row>
          <xdr:rowOff>31750</xdr:rowOff>
        </xdr:from>
        <xdr:to>
          <xdr:col>1</xdr:col>
          <xdr:colOff>990600</xdr:colOff>
          <xdr:row>95</xdr:row>
          <xdr:rowOff>184150</xdr:rowOff>
        </xdr:to>
        <xdr:sp macro="" textlink="">
          <xdr:nvSpPr>
            <xdr:cNvPr id="144474" name="Option Button 90" hidden="1">
              <a:extLst>
                <a:ext uri="{63B3BB69-23CF-44E3-9099-C40C66FF867C}">
                  <a14:compatExt spid="_x0000_s144474"/>
                </a:ext>
                <a:ext uri="{FF2B5EF4-FFF2-40B4-BE49-F238E27FC236}">
                  <a16:creationId xmlns:a16="http://schemas.microsoft.com/office/drawing/2014/main" id="{00000000-0008-0000-0500-00005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96</xdr:row>
          <xdr:rowOff>31750</xdr:rowOff>
        </xdr:from>
        <xdr:to>
          <xdr:col>1</xdr:col>
          <xdr:colOff>990600</xdr:colOff>
          <xdr:row>96</xdr:row>
          <xdr:rowOff>184150</xdr:rowOff>
        </xdr:to>
        <xdr:sp macro="" textlink="">
          <xdr:nvSpPr>
            <xdr:cNvPr id="144475" name="Option Button 91" hidden="1">
              <a:extLst>
                <a:ext uri="{63B3BB69-23CF-44E3-9099-C40C66FF867C}">
                  <a14:compatExt spid="_x0000_s144475"/>
                </a:ext>
                <a:ext uri="{FF2B5EF4-FFF2-40B4-BE49-F238E27FC236}">
                  <a16:creationId xmlns:a16="http://schemas.microsoft.com/office/drawing/2014/main" id="{00000000-0008-0000-0500-00005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97</xdr:row>
          <xdr:rowOff>31750</xdr:rowOff>
        </xdr:from>
        <xdr:to>
          <xdr:col>1</xdr:col>
          <xdr:colOff>990600</xdr:colOff>
          <xdr:row>97</xdr:row>
          <xdr:rowOff>184150</xdr:rowOff>
        </xdr:to>
        <xdr:sp macro="" textlink="">
          <xdr:nvSpPr>
            <xdr:cNvPr id="144476" name="Option Button 92" hidden="1">
              <a:extLst>
                <a:ext uri="{63B3BB69-23CF-44E3-9099-C40C66FF867C}">
                  <a14:compatExt spid="_x0000_s144476"/>
                </a:ext>
                <a:ext uri="{FF2B5EF4-FFF2-40B4-BE49-F238E27FC236}">
                  <a16:creationId xmlns:a16="http://schemas.microsoft.com/office/drawing/2014/main" id="{00000000-0008-0000-0500-00005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98</xdr:row>
          <xdr:rowOff>31750</xdr:rowOff>
        </xdr:from>
        <xdr:to>
          <xdr:col>1</xdr:col>
          <xdr:colOff>990600</xdr:colOff>
          <xdr:row>98</xdr:row>
          <xdr:rowOff>184150</xdr:rowOff>
        </xdr:to>
        <xdr:sp macro="" textlink="">
          <xdr:nvSpPr>
            <xdr:cNvPr id="144477" name="Option Button 93" hidden="1">
              <a:extLst>
                <a:ext uri="{63B3BB69-23CF-44E3-9099-C40C66FF867C}">
                  <a14:compatExt spid="_x0000_s144477"/>
                </a:ext>
                <a:ext uri="{FF2B5EF4-FFF2-40B4-BE49-F238E27FC236}">
                  <a16:creationId xmlns:a16="http://schemas.microsoft.com/office/drawing/2014/main" id="{00000000-0008-0000-0500-00005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99</xdr:row>
          <xdr:rowOff>31750</xdr:rowOff>
        </xdr:from>
        <xdr:to>
          <xdr:col>1</xdr:col>
          <xdr:colOff>990600</xdr:colOff>
          <xdr:row>99</xdr:row>
          <xdr:rowOff>184150</xdr:rowOff>
        </xdr:to>
        <xdr:sp macro="" textlink="">
          <xdr:nvSpPr>
            <xdr:cNvPr id="144478" name="Option Button 94" hidden="1">
              <a:extLst>
                <a:ext uri="{63B3BB69-23CF-44E3-9099-C40C66FF867C}">
                  <a14:compatExt spid="_x0000_s144478"/>
                </a:ext>
                <a:ext uri="{FF2B5EF4-FFF2-40B4-BE49-F238E27FC236}">
                  <a16:creationId xmlns:a16="http://schemas.microsoft.com/office/drawing/2014/main" id="{00000000-0008-0000-0500-00005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100</xdr:row>
          <xdr:rowOff>31750</xdr:rowOff>
        </xdr:from>
        <xdr:to>
          <xdr:col>1</xdr:col>
          <xdr:colOff>990600</xdr:colOff>
          <xdr:row>100</xdr:row>
          <xdr:rowOff>184150</xdr:rowOff>
        </xdr:to>
        <xdr:sp macro="" textlink="">
          <xdr:nvSpPr>
            <xdr:cNvPr id="144479" name="Option Button 95" hidden="1">
              <a:extLst>
                <a:ext uri="{63B3BB69-23CF-44E3-9099-C40C66FF867C}">
                  <a14:compatExt spid="_x0000_s144479"/>
                </a:ext>
                <a:ext uri="{FF2B5EF4-FFF2-40B4-BE49-F238E27FC236}">
                  <a16:creationId xmlns:a16="http://schemas.microsoft.com/office/drawing/2014/main" id="{00000000-0008-0000-0500-00005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101</xdr:row>
          <xdr:rowOff>31750</xdr:rowOff>
        </xdr:from>
        <xdr:to>
          <xdr:col>1</xdr:col>
          <xdr:colOff>990600</xdr:colOff>
          <xdr:row>101</xdr:row>
          <xdr:rowOff>184150</xdr:rowOff>
        </xdr:to>
        <xdr:sp macro="" textlink="">
          <xdr:nvSpPr>
            <xdr:cNvPr id="144480" name="Option Button 96" hidden="1">
              <a:extLst>
                <a:ext uri="{63B3BB69-23CF-44E3-9099-C40C66FF867C}">
                  <a14:compatExt spid="_x0000_s144480"/>
                </a:ext>
                <a:ext uri="{FF2B5EF4-FFF2-40B4-BE49-F238E27FC236}">
                  <a16:creationId xmlns:a16="http://schemas.microsoft.com/office/drawing/2014/main" id="{00000000-0008-0000-0500-00006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102</xdr:row>
          <xdr:rowOff>31750</xdr:rowOff>
        </xdr:from>
        <xdr:to>
          <xdr:col>1</xdr:col>
          <xdr:colOff>990600</xdr:colOff>
          <xdr:row>102</xdr:row>
          <xdr:rowOff>184150</xdr:rowOff>
        </xdr:to>
        <xdr:sp macro="" textlink="">
          <xdr:nvSpPr>
            <xdr:cNvPr id="144481" name="Option Button 97" hidden="1">
              <a:extLst>
                <a:ext uri="{63B3BB69-23CF-44E3-9099-C40C66FF867C}">
                  <a14:compatExt spid="_x0000_s144481"/>
                </a:ext>
                <a:ext uri="{FF2B5EF4-FFF2-40B4-BE49-F238E27FC236}">
                  <a16:creationId xmlns:a16="http://schemas.microsoft.com/office/drawing/2014/main" id="{00000000-0008-0000-0500-00006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103</xdr:row>
          <xdr:rowOff>31750</xdr:rowOff>
        </xdr:from>
        <xdr:to>
          <xdr:col>1</xdr:col>
          <xdr:colOff>990600</xdr:colOff>
          <xdr:row>103</xdr:row>
          <xdr:rowOff>184150</xdr:rowOff>
        </xdr:to>
        <xdr:sp macro="" textlink="">
          <xdr:nvSpPr>
            <xdr:cNvPr id="144482" name="Option Button 98" hidden="1">
              <a:extLst>
                <a:ext uri="{63B3BB69-23CF-44E3-9099-C40C66FF867C}">
                  <a14:compatExt spid="_x0000_s144482"/>
                </a:ext>
                <a:ext uri="{FF2B5EF4-FFF2-40B4-BE49-F238E27FC236}">
                  <a16:creationId xmlns:a16="http://schemas.microsoft.com/office/drawing/2014/main" id="{00000000-0008-0000-0500-00006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104</xdr:row>
          <xdr:rowOff>31750</xdr:rowOff>
        </xdr:from>
        <xdr:to>
          <xdr:col>1</xdr:col>
          <xdr:colOff>990600</xdr:colOff>
          <xdr:row>104</xdr:row>
          <xdr:rowOff>184150</xdr:rowOff>
        </xdr:to>
        <xdr:sp macro="" textlink="">
          <xdr:nvSpPr>
            <xdr:cNvPr id="144483" name="Option Button 99" hidden="1">
              <a:extLst>
                <a:ext uri="{63B3BB69-23CF-44E3-9099-C40C66FF867C}">
                  <a14:compatExt spid="_x0000_s144483"/>
                </a:ext>
                <a:ext uri="{FF2B5EF4-FFF2-40B4-BE49-F238E27FC236}">
                  <a16:creationId xmlns:a16="http://schemas.microsoft.com/office/drawing/2014/main" id="{00000000-0008-0000-0500-00006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105</xdr:row>
          <xdr:rowOff>31750</xdr:rowOff>
        </xdr:from>
        <xdr:to>
          <xdr:col>1</xdr:col>
          <xdr:colOff>990600</xdr:colOff>
          <xdr:row>105</xdr:row>
          <xdr:rowOff>184150</xdr:rowOff>
        </xdr:to>
        <xdr:sp macro="" textlink="">
          <xdr:nvSpPr>
            <xdr:cNvPr id="144484" name="Option Button 100" hidden="1">
              <a:extLst>
                <a:ext uri="{63B3BB69-23CF-44E3-9099-C40C66FF867C}">
                  <a14:compatExt spid="_x0000_s144484"/>
                </a:ext>
                <a:ext uri="{FF2B5EF4-FFF2-40B4-BE49-F238E27FC236}">
                  <a16:creationId xmlns:a16="http://schemas.microsoft.com/office/drawing/2014/main" id="{00000000-0008-0000-0500-00006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106</xdr:row>
          <xdr:rowOff>31750</xdr:rowOff>
        </xdr:from>
        <xdr:to>
          <xdr:col>1</xdr:col>
          <xdr:colOff>990600</xdr:colOff>
          <xdr:row>106</xdr:row>
          <xdr:rowOff>184150</xdr:rowOff>
        </xdr:to>
        <xdr:sp macro="" textlink="">
          <xdr:nvSpPr>
            <xdr:cNvPr id="144485" name="Option Button 101" hidden="1">
              <a:extLst>
                <a:ext uri="{63B3BB69-23CF-44E3-9099-C40C66FF867C}">
                  <a14:compatExt spid="_x0000_s144485"/>
                </a:ext>
                <a:ext uri="{FF2B5EF4-FFF2-40B4-BE49-F238E27FC236}">
                  <a16:creationId xmlns:a16="http://schemas.microsoft.com/office/drawing/2014/main" id="{00000000-0008-0000-0500-00006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107</xdr:row>
          <xdr:rowOff>31750</xdr:rowOff>
        </xdr:from>
        <xdr:to>
          <xdr:col>1</xdr:col>
          <xdr:colOff>990600</xdr:colOff>
          <xdr:row>107</xdr:row>
          <xdr:rowOff>184150</xdr:rowOff>
        </xdr:to>
        <xdr:sp macro="" textlink="">
          <xdr:nvSpPr>
            <xdr:cNvPr id="144486" name="Option Button 102" hidden="1">
              <a:extLst>
                <a:ext uri="{63B3BB69-23CF-44E3-9099-C40C66FF867C}">
                  <a14:compatExt spid="_x0000_s144486"/>
                </a:ext>
                <a:ext uri="{FF2B5EF4-FFF2-40B4-BE49-F238E27FC236}">
                  <a16:creationId xmlns:a16="http://schemas.microsoft.com/office/drawing/2014/main" id="{00000000-0008-0000-0500-00006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108</xdr:row>
          <xdr:rowOff>31750</xdr:rowOff>
        </xdr:from>
        <xdr:to>
          <xdr:col>1</xdr:col>
          <xdr:colOff>990600</xdr:colOff>
          <xdr:row>108</xdr:row>
          <xdr:rowOff>184150</xdr:rowOff>
        </xdr:to>
        <xdr:sp macro="" textlink="">
          <xdr:nvSpPr>
            <xdr:cNvPr id="144487" name="Option Button 103" hidden="1">
              <a:extLst>
                <a:ext uri="{63B3BB69-23CF-44E3-9099-C40C66FF867C}">
                  <a14:compatExt spid="_x0000_s144487"/>
                </a:ext>
                <a:ext uri="{FF2B5EF4-FFF2-40B4-BE49-F238E27FC236}">
                  <a16:creationId xmlns:a16="http://schemas.microsoft.com/office/drawing/2014/main" id="{00000000-0008-0000-0500-00006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109</xdr:row>
          <xdr:rowOff>31750</xdr:rowOff>
        </xdr:from>
        <xdr:to>
          <xdr:col>1</xdr:col>
          <xdr:colOff>990600</xdr:colOff>
          <xdr:row>109</xdr:row>
          <xdr:rowOff>184150</xdr:rowOff>
        </xdr:to>
        <xdr:sp macro="" textlink="">
          <xdr:nvSpPr>
            <xdr:cNvPr id="144488" name="Option Button 104" hidden="1">
              <a:extLst>
                <a:ext uri="{63B3BB69-23CF-44E3-9099-C40C66FF867C}">
                  <a14:compatExt spid="_x0000_s144488"/>
                </a:ext>
                <a:ext uri="{FF2B5EF4-FFF2-40B4-BE49-F238E27FC236}">
                  <a16:creationId xmlns:a16="http://schemas.microsoft.com/office/drawing/2014/main" id="{00000000-0008-0000-0500-00006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110</xdr:row>
          <xdr:rowOff>31750</xdr:rowOff>
        </xdr:from>
        <xdr:to>
          <xdr:col>1</xdr:col>
          <xdr:colOff>990600</xdr:colOff>
          <xdr:row>110</xdr:row>
          <xdr:rowOff>184150</xdr:rowOff>
        </xdr:to>
        <xdr:sp macro="" textlink="">
          <xdr:nvSpPr>
            <xdr:cNvPr id="144489" name="Option Button 105" hidden="1">
              <a:extLst>
                <a:ext uri="{63B3BB69-23CF-44E3-9099-C40C66FF867C}">
                  <a14:compatExt spid="_x0000_s144489"/>
                </a:ext>
                <a:ext uri="{FF2B5EF4-FFF2-40B4-BE49-F238E27FC236}">
                  <a16:creationId xmlns:a16="http://schemas.microsoft.com/office/drawing/2014/main" id="{00000000-0008-0000-0500-00006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111</xdr:row>
          <xdr:rowOff>31750</xdr:rowOff>
        </xdr:from>
        <xdr:to>
          <xdr:col>1</xdr:col>
          <xdr:colOff>990600</xdr:colOff>
          <xdr:row>111</xdr:row>
          <xdr:rowOff>184150</xdr:rowOff>
        </xdr:to>
        <xdr:sp macro="" textlink="">
          <xdr:nvSpPr>
            <xdr:cNvPr id="144490" name="Option Button 106" hidden="1">
              <a:extLst>
                <a:ext uri="{63B3BB69-23CF-44E3-9099-C40C66FF867C}">
                  <a14:compatExt spid="_x0000_s144490"/>
                </a:ext>
                <a:ext uri="{FF2B5EF4-FFF2-40B4-BE49-F238E27FC236}">
                  <a16:creationId xmlns:a16="http://schemas.microsoft.com/office/drawing/2014/main" id="{00000000-0008-0000-0500-00006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112</xdr:row>
          <xdr:rowOff>31750</xdr:rowOff>
        </xdr:from>
        <xdr:to>
          <xdr:col>1</xdr:col>
          <xdr:colOff>990600</xdr:colOff>
          <xdr:row>112</xdr:row>
          <xdr:rowOff>184150</xdr:rowOff>
        </xdr:to>
        <xdr:sp macro="" textlink="">
          <xdr:nvSpPr>
            <xdr:cNvPr id="144491" name="Option Button 107" hidden="1">
              <a:extLst>
                <a:ext uri="{63B3BB69-23CF-44E3-9099-C40C66FF867C}">
                  <a14:compatExt spid="_x0000_s144491"/>
                </a:ext>
                <a:ext uri="{FF2B5EF4-FFF2-40B4-BE49-F238E27FC236}">
                  <a16:creationId xmlns:a16="http://schemas.microsoft.com/office/drawing/2014/main" id="{00000000-0008-0000-0500-00006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113</xdr:row>
          <xdr:rowOff>31750</xdr:rowOff>
        </xdr:from>
        <xdr:to>
          <xdr:col>1</xdr:col>
          <xdr:colOff>990600</xdr:colOff>
          <xdr:row>113</xdr:row>
          <xdr:rowOff>184150</xdr:rowOff>
        </xdr:to>
        <xdr:sp macro="" textlink="">
          <xdr:nvSpPr>
            <xdr:cNvPr id="144492" name="Option Button 108" hidden="1">
              <a:extLst>
                <a:ext uri="{63B3BB69-23CF-44E3-9099-C40C66FF867C}">
                  <a14:compatExt spid="_x0000_s144492"/>
                </a:ext>
                <a:ext uri="{FF2B5EF4-FFF2-40B4-BE49-F238E27FC236}">
                  <a16:creationId xmlns:a16="http://schemas.microsoft.com/office/drawing/2014/main" id="{00000000-0008-0000-0500-00006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114</xdr:row>
          <xdr:rowOff>31750</xdr:rowOff>
        </xdr:from>
        <xdr:to>
          <xdr:col>1</xdr:col>
          <xdr:colOff>990600</xdr:colOff>
          <xdr:row>114</xdr:row>
          <xdr:rowOff>184150</xdr:rowOff>
        </xdr:to>
        <xdr:sp macro="" textlink="">
          <xdr:nvSpPr>
            <xdr:cNvPr id="144493" name="Option Button 109" hidden="1">
              <a:extLst>
                <a:ext uri="{63B3BB69-23CF-44E3-9099-C40C66FF867C}">
                  <a14:compatExt spid="_x0000_s144493"/>
                </a:ext>
                <a:ext uri="{FF2B5EF4-FFF2-40B4-BE49-F238E27FC236}">
                  <a16:creationId xmlns:a16="http://schemas.microsoft.com/office/drawing/2014/main" id="{00000000-0008-0000-0500-00006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115</xdr:row>
          <xdr:rowOff>31750</xdr:rowOff>
        </xdr:from>
        <xdr:to>
          <xdr:col>1</xdr:col>
          <xdr:colOff>990600</xdr:colOff>
          <xdr:row>115</xdr:row>
          <xdr:rowOff>184150</xdr:rowOff>
        </xdr:to>
        <xdr:sp macro="" textlink="">
          <xdr:nvSpPr>
            <xdr:cNvPr id="144494" name="Option Button 110" hidden="1">
              <a:extLst>
                <a:ext uri="{63B3BB69-23CF-44E3-9099-C40C66FF867C}">
                  <a14:compatExt spid="_x0000_s144494"/>
                </a:ext>
                <a:ext uri="{FF2B5EF4-FFF2-40B4-BE49-F238E27FC236}">
                  <a16:creationId xmlns:a16="http://schemas.microsoft.com/office/drawing/2014/main" id="{00000000-0008-0000-0500-00006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116</xdr:row>
          <xdr:rowOff>31750</xdr:rowOff>
        </xdr:from>
        <xdr:to>
          <xdr:col>1</xdr:col>
          <xdr:colOff>990600</xdr:colOff>
          <xdr:row>116</xdr:row>
          <xdr:rowOff>184150</xdr:rowOff>
        </xdr:to>
        <xdr:sp macro="" textlink="">
          <xdr:nvSpPr>
            <xdr:cNvPr id="144495" name="Option Button 111" hidden="1">
              <a:extLst>
                <a:ext uri="{63B3BB69-23CF-44E3-9099-C40C66FF867C}">
                  <a14:compatExt spid="_x0000_s144495"/>
                </a:ext>
                <a:ext uri="{FF2B5EF4-FFF2-40B4-BE49-F238E27FC236}">
                  <a16:creationId xmlns:a16="http://schemas.microsoft.com/office/drawing/2014/main" id="{00000000-0008-0000-0500-00006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117</xdr:row>
          <xdr:rowOff>31750</xdr:rowOff>
        </xdr:from>
        <xdr:to>
          <xdr:col>1</xdr:col>
          <xdr:colOff>990600</xdr:colOff>
          <xdr:row>117</xdr:row>
          <xdr:rowOff>184150</xdr:rowOff>
        </xdr:to>
        <xdr:sp macro="" textlink="">
          <xdr:nvSpPr>
            <xdr:cNvPr id="144496" name="Option Button 112" hidden="1">
              <a:extLst>
                <a:ext uri="{63B3BB69-23CF-44E3-9099-C40C66FF867C}">
                  <a14:compatExt spid="_x0000_s144496"/>
                </a:ext>
                <a:ext uri="{FF2B5EF4-FFF2-40B4-BE49-F238E27FC236}">
                  <a16:creationId xmlns:a16="http://schemas.microsoft.com/office/drawing/2014/main" id="{00000000-0008-0000-0500-00007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118</xdr:row>
          <xdr:rowOff>31750</xdr:rowOff>
        </xdr:from>
        <xdr:to>
          <xdr:col>1</xdr:col>
          <xdr:colOff>990600</xdr:colOff>
          <xdr:row>118</xdr:row>
          <xdr:rowOff>184150</xdr:rowOff>
        </xdr:to>
        <xdr:sp macro="" textlink="">
          <xdr:nvSpPr>
            <xdr:cNvPr id="144497" name="Option Button 113" hidden="1">
              <a:extLst>
                <a:ext uri="{63B3BB69-23CF-44E3-9099-C40C66FF867C}">
                  <a14:compatExt spid="_x0000_s144497"/>
                </a:ext>
                <a:ext uri="{FF2B5EF4-FFF2-40B4-BE49-F238E27FC236}">
                  <a16:creationId xmlns:a16="http://schemas.microsoft.com/office/drawing/2014/main" id="{00000000-0008-0000-0500-00007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119</xdr:row>
          <xdr:rowOff>31750</xdr:rowOff>
        </xdr:from>
        <xdr:to>
          <xdr:col>1</xdr:col>
          <xdr:colOff>990600</xdr:colOff>
          <xdr:row>119</xdr:row>
          <xdr:rowOff>184150</xdr:rowOff>
        </xdr:to>
        <xdr:sp macro="" textlink="">
          <xdr:nvSpPr>
            <xdr:cNvPr id="144498" name="Option Button 114" hidden="1">
              <a:extLst>
                <a:ext uri="{63B3BB69-23CF-44E3-9099-C40C66FF867C}">
                  <a14:compatExt spid="_x0000_s144498"/>
                </a:ext>
                <a:ext uri="{FF2B5EF4-FFF2-40B4-BE49-F238E27FC236}">
                  <a16:creationId xmlns:a16="http://schemas.microsoft.com/office/drawing/2014/main" id="{00000000-0008-0000-0500-00007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120</xdr:row>
          <xdr:rowOff>31750</xdr:rowOff>
        </xdr:from>
        <xdr:to>
          <xdr:col>1</xdr:col>
          <xdr:colOff>990600</xdr:colOff>
          <xdr:row>120</xdr:row>
          <xdr:rowOff>184150</xdr:rowOff>
        </xdr:to>
        <xdr:sp macro="" textlink="">
          <xdr:nvSpPr>
            <xdr:cNvPr id="144499" name="Option Button 115" hidden="1">
              <a:extLst>
                <a:ext uri="{63B3BB69-23CF-44E3-9099-C40C66FF867C}">
                  <a14:compatExt spid="_x0000_s144499"/>
                </a:ext>
                <a:ext uri="{FF2B5EF4-FFF2-40B4-BE49-F238E27FC236}">
                  <a16:creationId xmlns:a16="http://schemas.microsoft.com/office/drawing/2014/main" id="{00000000-0008-0000-0500-00007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121</xdr:row>
          <xdr:rowOff>31750</xdr:rowOff>
        </xdr:from>
        <xdr:to>
          <xdr:col>1</xdr:col>
          <xdr:colOff>990600</xdr:colOff>
          <xdr:row>121</xdr:row>
          <xdr:rowOff>184150</xdr:rowOff>
        </xdr:to>
        <xdr:sp macro="" textlink="">
          <xdr:nvSpPr>
            <xdr:cNvPr id="144500" name="Option Button 116" hidden="1">
              <a:extLst>
                <a:ext uri="{63B3BB69-23CF-44E3-9099-C40C66FF867C}">
                  <a14:compatExt spid="_x0000_s144500"/>
                </a:ext>
                <a:ext uri="{FF2B5EF4-FFF2-40B4-BE49-F238E27FC236}">
                  <a16:creationId xmlns:a16="http://schemas.microsoft.com/office/drawing/2014/main" id="{00000000-0008-0000-0500-00007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122</xdr:row>
          <xdr:rowOff>31750</xdr:rowOff>
        </xdr:from>
        <xdr:to>
          <xdr:col>1</xdr:col>
          <xdr:colOff>990600</xdr:colOff>
          <xdr:row>122</xdr:row>
          <xdr:rowOff>184150</xdr:rowOff>
        </xdr:to>
        <xdr:sp macro="" textlink="">
          <xdr:nvSpPr>
            <xdr:cNvPr id="144501" name="Option Button 117" hidden="1">
              <a:extLst>
                <a:ext uri="{63B3BB69-23CF-44E3-9099-C40C66FF867C}">
                  <a14:compatExt spid="_x0000_s144501"/>
                </a:ext>
                <a:ext uri="{FF2B5EF4-FFF2-40B4-BE49-F238E27FC236}">
                  <a16:creationId xmlns:a16="http://schemas.microsoft.com/office/drawing/2014/main" id="{00000000-0008-0000-0500-00007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123</xdr:row>
          <xdr:rowOff>31750</xdr:rowOff>
        </xdr:from>
        <xdr:to>
          <xdr:col>1</xdr:col>
          <xdr:colOff>990600</xdr:colOff>
          <xdr:row>123</xdr:row>
          <xdr:rowOff>184150</xdr:rowOff>
        </xdr:to>
        <xdr:sp macro="" textlink="">
          <xdr:nvSpPr>
            <xdr:cNvPr id="144502" name="Option Button 118" hidden="1">
              <a:extLst>
                <a:ext uri="{63B3BB69-23CF-44E3-9099-C40C66FF867C}">
                  <a14:compatExt spid="_x0000_s144502"/>
                </a:ext>
                <a:ext uri="{FF2B5EF4-FFF2-40B4-BE49-F238E27FC236}">
                  <a16:creationId xmlns:a16="http://schemas.microsoft.com/office/drawing/2014/main" id="{00000000-0008-0000-0500-00007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124</xdr:row>
          <xdr:rowOff>31750</xdr:rowOff>
        </xdr:from>
        <xdr:to>
          <xdr:col>1</xdr:col>
          <xdr:colOff>990600</xdr:colOff>
          <xdr:row>124</xdr:row>
          <xdr:rowOff>184150</xdr:rowOff>
        </xdr:to>
        <xdr:sp macro="" textlink="">
          <xdr:nvSpPr>
            <xdr:cNvPr id="144503" name="Option Button 119" hidden="1">
              <a:extLst>
                <a:ext uri="{63B3BB69-23CF-44E3-9099-C40C66FF867C}">
                  <a14:compatExt spid="_x0000_s144503"/>
                </a:ext>
                <a:ext uri="{FF2B5EF4-FFF2-40B4-BE49-F238E27FC236}">
                  <a16:creationId xmlns:a16="http://schemas.microsoft.com/office/drawing/2014/main" id="{00000000-0008-0000-0500-00007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125</xdr:row>
          <xdr:rowOff>31750</xdr:rowOff>
        </xdr:from>
        <xdr:to>
          <xdr:col>1</xdr:col>
          <xdr:colOff>990600</xdr:colOff>
          <xdr:row>125</xdr:row>
          <xdr:rowOff>184150</xdr:rowOff>
        </xdr:to>
        <xdr:sp macro="" textlink="">
          <xdr:nvSpPr>
            <xdr:cNvPr id="144504" name="Option Button 120" hidden="1">
              <a:extLst>
                <a:ext uri="{63B3BB69-23CF-44E3-9099-C40C66FF867C}">
                  <a14:compatExt spid="_x0000_s144504"/>
                </a:ext>
                <a:ext uri="{FF2B5EF4-FFF2-40B4-BE49-F238E27FC236}">
                  <a16:creationId xmlns:a16="http://schemas.microsoft.com/office/drawing/2014/main" id="{00000000-0008-0000-0500-00007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126</xdr:row>
          <xdr:rowOff>31750</xdr:rowOff>
        </xdr:from>
        <xdr:to>
          <xdr:col>1</xdr:col>
          <xdr:colOff>990600</xdr:colOff>
          <xdr:row>126</xdr:row>
          <xdr:rowOff>184150</xdr:rowOff>
        </xdr:to>
        <xdr:sp macro="" textlink="">
          <xdr:nvSpPr>
            <xdr:cNvPr id="144505" name="Option Button 121" hidden="1">
              <a:extLst>
                <a:ext uri="{63B3BB69-23CF-44E3-9099-C40C66FF867C}">
                  <a14:compatExt spid="_x0000_s144505"/>
                </a:ext>
                <a:ext uri="{FF2B5EF4-FFF2-40B4-BE49-F238E27FC236}">
                  <a16:creationId xmlns:a16="http://schemas.microsoft.com/office/drawing/2014/main" id="{00000000-0008-0000-0500-00007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127</xdr:row>
          <xdr:rowOff>31750</xdr:rowOff>
        </xdr:from>
        <xdr:to>
          <xdr:col>1</xdr:col>
          <xdr:colOff>990600</xdr:colOff>
          <xdr:row>127</xdr:row>
          <xdr:rowOff>184150</xdr:rowOff>
        </xdr:to>
        <xdr:sp macro="" textlink="">
          <xdr:nvSpPr>
            <xdr:cNvPr id="144506" name="Option Button 122" hidden="1">
              <a:extLst>
                <a:ext uri="{63B3BB69-23CF-44E3-9099-C40C66FF867C}">
                  <a14:compatExt spid="_x0000_s144506"/>
                </a:ext>
                <a:ext uri="{FF2B5EF4-FFF2-40B4-BE49-F238E27FC236}">
                  <a16:creationId xmlns:a16="http://schemas.microsoft.com/office/drawing/2014/main" id="{00000000-0008-0000-0500-00007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128</xdr:row>
          <xdr:rowOff>31750</xdr:rowOff>
        </xdr:from>
        <xdr:to>
          <xdr:col>1</xdr:col>
          <xdr:colOff>990600</xdr:colOff>
          <xdr:row>128</xdr:row>
          <xdr:rowOff>184150</xdr:rowOff>
        </xdr:to>
        <xdr:sp macro="" textlink="">
          <xdr:nvSpPr>
            <xdr:cNvPr id="144507" name="Option Button 123" hidden="1">
              <a:extLst>
                <a:ext uri="{63B3BB69-23CF-44E3-9099-C40C66FF867C}">
                  <a14:compatExt spid="_x0000_s144507"/>
                </a:ext>
                <a:ext uri="{FF2B5EF4-FFF2-40B4-BE49-F238E27FC236}">
                  <a16:creationId xmlns:a16="http://schemas.microsoft.com/office/drawing/2014/main" id="{00000000-0008-0000-0500-00007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129</xdr:row>
          <xdr:rowOff>31750</xdr:rowOff>
        </xdr:from>
        <xdr:to>
          <xdr:col>1</xdr:col>
          <xdr:colOff>990600</xdr:colOff>
          <xdr:row>129</xdr:row>
          <xdr:rowOff>184150</xdr:rowOff>
        </xdr:to>
        <xdr:sp macro="" textlink="">
          <xdr:nvSpPr>
            <xdr:cNvPr id="144508" name="Option Button 124" hidden="1">
              <a:extLst>
                <a:ext uri="{63B3BB69-23CF-44E3-9099-C40C66FF867C}">
                  <a14:compatExt spid="_x0000_s144508"/>
                </a:ext>
                <a:ext uri="{FF2B5EF4-FFF2-40B4-BE49-F238E27FC236}">
                  <a16:creationId xmlns:a16="http://schemas.microsoft.com/office/drawing/2014/main" id="{00000000-0008-0000-0500-00007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130</xdr:row>
          <xdr:rowOff>31750</xdr:rowOff>
        </xdr:from>
        <xdr:to>
          <xdr:col>1</xdr:col>
          <xdr:colOff>990600</xdr:colOff>
          <xdr:row>130</xdr:row>
          <xdr:rowOff>184150</xdr:rowOff>
        </xdr:to>
        <xdr:sp macro="" textlink="">
          <xdr:nvSpPr>
            <xdr:cNvPr id="144509" name="Option Button 125" hidden="1">
              <a:extLst>
                <a:ext uri="{63B3BB69-23CF-44E3-9099-C40C66FF867C}">
                  <a14:compatExt spid="_x0000_s144509"/>
                </a:ext>
                <a:ext uri="{FF2B5EF4-FFF2-40B4-BE49-F238E27FC236}">
                  <a16:creationId xmlns:a16="http://schemas.microsoft.com/office/drawing/2014/main" id="{00000000-0008-0000-0500-00007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131</xdr:row>
          <xdr:rowOff>31750</xdr:rowOff>
        </xdr:from>
        <xdr:to>
          <xdr:col>1</xdr:col>
          <xdr:colOff>990600</xdr:colOff>
          <xdr:row>131</xdr:row>
          <xdr:rowOff>184150</xdr:rowOff>
        </xdr:to>
        <xdr:sp macro="" textlink="">
          <xdr:nvSpPr>
            <xdr:cNvPr id="144510" name="Option Button 126" hidden="1">
              <a:extLst>
                <a:ext uri="{63B3BB69-23CF-44E3-9099-C40C66FF867C}">
                  <a14:compatExt spid="_x0000_s144510"/>
                </a:ext>
                <a:ext uri="{FF2B5EF4-FFF2-40B4-BE49-F238E27FC236}">
                  <a16:creationId xmlns:a16="http://schemas.microsoft.com/office/drawing/2014/main" id="{00000000-0008-0000-0500-00007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132</xdr:row>
          <xdr:rowOff>31750</xdr:rowOff>
        </xdr:from>
        <xdr:to>
          <xdr:col>1</xdr:col>
          <xdr:colOff>990600</xdr:colOff>
          <xdr:row>132</xdr:row>
          <xdr:rowOff>184150</xdr:rowOff>
        </xdr:to>
        <xdr:sp macro="" textlink="">
          <xdr:nvSpPr>
            <xdr:cNvPr id="144511" name="Option Button 127" hidden="1">
              <a:extLst>
                <a:ext uri="{63B3BB69-23CF-44E3-9099-C40C66FF867C}">
                  <a14:compatExt spid="_x0000_s144511"/>
                </a:ext>
                <a:ext uri="{FF2B5EF4-FFF2-40B4-BE49-F238E27FC236}">
                  <a16:creationId xmlns:a16="http://schemas.microsoft.com/office/drawing/2014/main" id="{00000000-0008-0000-0500-00007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133</xdr:row>
          <xdr:rowOff>31750</xdr:rowOff>
        </xdr:from>
        <xdr:to>
          <xdr:col>1</xdr:col>
          <xdr:colOff>990600</xdr:colOff>
          <xdr:row>133</xdr:row>
          <xdr:rowOff>184150</xdr:rowOff>
        </xdr:to>
        <xdr:sp macro="" textlink="">
          <xdr:nvSpPr>
            <xdr:cNvPr id="144512" name="Option Button 128" hidden="1">
              <a:extLst>
                <a:ext uri="{63B3BB69-23CF-44E3-9099-C40C66FF867C}">
                  <a14:compatExt spid="_x0000_s144512"/>
                </a:ext>
                <a:ext uri="{FF2B5EF4-FFF2-40B4-BE49-F238E27FC236}">
                  <a16:creationId xmlns:a16="http://schemas.microsoft.com/office/drawing/2014/main" id="{00000000-0008-0000-0500-00008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134</xdr:row>
          <xdr:rowOff>31750</xdr:rowOff>
        </xdr:from>
        <xdr:to>
          <xdr:col>1</xdr:col>
          <xdr:colOff>990600</xdr:colOff>
          <xdr:row>134</xdr:row>
          <xdr:rowOff>184150</xdr:rowOff>
        </xdr:to>
        <xdr:sp macro="" textlink="">
          <xdr:nvSpPr>
            <xdr:cNvPr id="144513" name="Option Button 129" hidden="1">
              <a:extLst>
                <a:ext uri="{63B3BB69-23CF-44E3-9099-C40C66FF867C}">
                  <a14:compatExt spid="_x0000_s144513"/>
                </a:ext>
                <a:ext uri="{FF2B5EF4-FFF2-40B4-BE49-F238E27FC236}">
                  <a16:creationId xmlns:a16="http://schemas.microsoft.com/office/drawing/2014/main" id="{00000000-0008-0000-0500-00008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135</xdr:row>
          <xdr:rowOff>31750</xdr:rowOff>
        </xdr:from>
        <xdr:to>
          <xdr:col>1</xdr:col>
          <xdr:colOff>990600</xdr:colOff>
          <xdr:row>135</xdr:row>
          <xdr:rowOff>184150</xdr:rowOff>
        </xdr:to>
        <xdr:sp macro="" textlink="">
          <xdr:nvSpPr>
            <xdr:cNvPr id="144514" name="Option Button 130" hidden="1">
              <a:extLst>
                <a:ext uri="{63B3BB69-23CF-44E3-9099-C40C66FF867C}">
                  <a14:compatExt spid="_x0000_s144514"/>
                </a:ext>
                <a:ext uri="{FF2B5EF4-FFF2-40B4-BE49-F238E27FC236}">
                  <a16:creationId xmlns:a16="http://schemas.microsoft.com/office/drawing/2014/main" id="{00000000-0008-0000-0500-00008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136</xdr:row>
          <xdr:rowOff>31750</xdr:rowOff>
        </xdr:from>
        <xdr:to>
          <xdr:col>1</xdr:col>
          <xdr:colOff>990600</xdr:colOff>
          <xdr:row>136</xdr:row>
          <xdr:rowOff>184150</xdr:rowOff>
        </xdr:to>
        <xdr:sp macro="" textlink="">
          <xdr:nvSpPr>
            <xdr:cNvPr id="144515" name="Option Button 131" hidden="1">
              <a:extLst>
                <a:ext uri="{63B3BB69-23CF-44E3-9099-C40C66FF867C}">
                  <a14:compatExt spid="_x0000_s144515"/>
                </a:ext>
                <a:ext uri="{FF2B5EF4-FFF2-40B4-BE49-F238E27FC236}">
                  <a16:creationId xmlns:a16="http://schemas.microsoft.com/office/drawing/2014/main" id="{00000000-0008-0000-0500-00008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137</xdr:row>
          <xdr:rowOff>31750</xdr:rowOff>
        </xdr:from>
        <xdr:to>
          <xdr:col>1</xdr:col>
          <xdr:colOff>990600</xdr:colOff>
          <xdr:row>137</xdr:row>
          <xdr:rowOff>184150</xdr:rowOff>
        </xdr:to>
        <xdr:sp macro="" textlink="">
          <xdr:nvSpPr>
            <xdr:cNvPr id="144516" name="Option Button 132" hidden="1">
              <a:extLst>
                <a:ext uri="{63B3BB69-23CF-44E3-9099-C40C66FF867C}">
                  <a14:compatExt spid="_x0000_s144516"/>
                </a:ext>
                <a:ext uri="{FF2B5EF4-FFF2-40B4-BE49-F238E27FC236}">
                  <a16:creationId xmlns:a16="http://schemas.microsoft.com/office/drawing/2014/main" id="{00000000-0008-0000-0500-00008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138</xdr:row>
          <xdr:rowOff>31750</xdr:rowOff>
        </xdr:from>
        <xdr:to>
          <xdr:col>1</xdr:col>
          <xdr:colOff>990600</xdr:colOff>
          <xdr:row>138</xdr:row>
          <xdr:rowOff>184150</xdr:rowOff>
        </xdr:to>
        <xdr:sp macro="" textlink="">
          <xdr:nvSpPr>
            <xdr:cNvPr id="144517" name="Option Button 133" hidden="1">
              <a:extLst>
                <a:ext uri="{63B3BB69-23CF-44E3-9099-C40C66FF867C}">
                  <a14:compatExt spid="_x0000_s144517"/>
                </a:ext>
                <a:ext uri="{FF2B5EF4-FFF2-40B4-BE49-F238E27FC236}">
                  <a16:creationId xmlns:a16="http://schemas.microsoft.com/office/drawing/2014/main" id="{00000000-0008-0000-0500-00008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139</xdr:row>
          <xdr:rowOff>31750</xdr:rowOff>
        </xdr:from>
        <xdr:to>
          <xdr:col>1</xdr:col>
          <xdr:colOff>990600</xdr:colOff>
          <xdr:row>139</xdr:row>
          <xdr:rowOff>184150</xdr:rowOff>
        </xdr:to>
        <xdr:sp macro="" textlink="">
          <xdr:nvSpPr>
            <xdr:cNvPr id="144518" name="Option Button 134" hidden="1">
              <a:extLst>
                <a:ext uri="{63B3BB69-23CF-44E3-9099-C40C66FF867C}">
                  <a14:compatExt spid="_x0000_s144518"/>
                </a:ext>
                <a:ext uri="{FF2B5EF4-FFF2-40B4-BE49-F238E27FC236}">
                  <a16:creationId xmlns:a16="http://schemas.microsoft.com/office/drawing/2014/main" id="{00000000-0008-0000-0500-00008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140</xdr:row>
          <xdr:rowOff>31750</xdr:rowOff>
        </xdr:from>
        <xdr:to>
          <xdr:col>1</xdr:col>
          <xdr:colOff>990600</xdr:colOff>
          <xdr:row>140</xdr:row>
          <xdr:rowOff>184150</xdr:rowOff>
        </xdr:to>
        <xdr:sp macro="" textlink="">
          <xdr:nvSpPr>
            <xdr:cNvPr id="144519" name="Option Button 135" hidden="1">
              <a:extLst>
                <a:ext uri="{63B3BB69-23CF-44E3-9099-C40C66FF867C}">
                  <a14:compatExt spid="_x0000_s144519"/>
                </a:ext>
                <a:ext uri="{FF2B5EF4-FFF2-40B4-BE49-F238E27FC236}">
                  <a16:creationId xmlns:a16="http://schemas.microsoft.com/office/drawing/2014/main" id="{00000000-0008-0000-0500-00008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141</xdr:row>
          <xdr:rowOff>31750</xdr:rowOff>
        </xdr:from>
        <xdr:to>
          <xdr:col>1</xdr:col>
          <xdr:colOff>990600</xdr:colOff>
          <xdr:row>141</xdr:row>
          <xdr:rowOff>184150</xdr:rowOff>
        </xdr:to>
        <xdr:sp macro="" textlink="">
          <xdr:nvSpPr>
            <xdr:cNvPr id="144520" name="Option Button 136" hidden="1">
              <a:extLst>
                <a:ext uri="{63B3BB69-23CF-44E3-9099-C40C66FF867C}">
                  <a14:compatExt spid="_x0000_s144520"/>
                </a:ext>
                <a:ext uri="{FF2B5EF4-FFF2-40B4-BE49-F238E27FC236}">
                  <a16:creationId xmlns:a16="http://schemas.microsoft.com/office/drawing/2014/main" id="{00000000-0008-0000-0500-00008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142</xdr:row>
          <xdr:rowOff>31750</xdr:rowOff>
        </xdr:from>
        <xdr:to>
          <xdr:col>1</xdr:col>
          <xdr:colOff>990600</xdr:colOff>
          <xdr:row>142</xdr:row>
          <xdr:rowOff>184150</xdr:rowOff>
        </xdr:to>
        <xdr:sp macro="" textlink="">
          <xdr:nvSpPr>
            <xdr:cNvPr id="144521" name="Option Button 137" hidden="1">
              <a:extLst>
                <a:ext uri="{63B3BB69-23CF-44E3-9099-C40C66FF867C}">
                  <a14:compatExt spid="_x0000_s144521"/>
                </a:ext>
                <a:ext uri="{FF2B5EF4-FFF2-40B4-BE49-F238E27FC236}">
                  <a16:creationId xmlns:a16="http://schemas.microsoft.com/office/drawing/2014/main" id="{00000000-0008-0000-0500-00008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143</xdr:row>
          <xdr:rowOff>31750</xdr:rowOff>
        </xdr:from>
        <xdr:to>
          <xdr:col>1</xdr:col>
          <xdr:colOff>990600</xdr:colOff>
          <xdr:row>143</xdr:row>
          <xdr:rowOff>184150</xdr:rowOff>
        </xdr:to>
        <xdr:sp macro="" textlink="">
          <xdr:nvSpPr>
            <xdr:cNvPr id="144522" name="Option Button 138" hidden="1">
              <a:extLst>
                <a:ext uri="{63B3BB69-23CF-44E3-9099-C40C66FF867C}">
                  <a14:compatExt spid="_x0000_s144522"/>
                </a:ext>
                <a:ext uri="{FF2B5EF4-FFF2-40B4-BE49-F238E27FC236}">
                  <a16:creationId xmlns:a16="http://schemas.microsoft.com/office/drawing/2014/main" id="{00000000-0008-0000-0500-00008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257735</xdr:colOff>
      <xdr:row>0</xdr:row>
      <xdr:rowOff>112059</xdr:rowOff>
    </xdr:from>
    <xdr:to>
      <xdr:col>13</xdr:col>
      <xdr:colOff>605117</xdr:colOff>
      <xdr:row>2</xdr:row>
      <xdr:rowOff>28576</xdr:rowOff>
    </xdr:to>
    <xdr:sp macro="" textlink="">
      <xdr:nvSpPr>
        <xdr:cNvPr id="140" name="角丸四角形吹き出し 139">
          <a:extLst>
            <a:ext uri="{FF2B5EF4-FFF2-40B4-BE49-F238E27FC236}">
              <a16:creationId xmlns:a16="http://schemas.microsoft.com/office/drawing/2014/main" id="{00000000-0008-0000-0500-00008C000000}"/>
            </a:ext>
          </a:extLst>
        </xdr:cNvPr>
        <xdr:cNvSpPr/>
      </xdr:nvSpPr>
      <xdr:spPr>
        <a:xfrm>
          <a:off x="3989294" y="112059"/>
          <a:ext cx="4448735"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iD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および</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WAON</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導入の場合はこちらにて業種選択をお願いします。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347387</xdr:colOff>
      <xdr:row>7</xdr:row>
      <xdr:rowOff>11210</xdr:rowOff>
    </xdr:from>
    <xdr:to>
      <xdr:col>9</xdr:col>
      <xdr:colOff>470645</xdr:colOff>
      <xdr:row>9</xdr:row>
      <xdr:rowOff>62197</xdr:rowOff>
    </xdr:to>
    <xdr:sp macro="" textlink="">
      <xdr:nvSpPr>
        <xdr:cNvPr id="141" name="角丸四角形吹き出し 140">
          <a:extLst>
            <a:ext uri="{FF2B5EF4-FFF2-40B4-BE49-F238E27FC236}">
              <a16:creationId xmlns:a16="http://schemas.microsoft.com/office/drawing/2014/main" id="{00000000-0008-0000-0500-00008D000000}"/>
            </a:ext>
          </a:extLst>
        </xdr:cNvPr>
        <xdr:cNvSpPr/>
      </xdr:nvSpPr>
      <xdr:spPr>
        <a:xfrm>
          <a:off x="1748122" y="1792945"/>
          <a:ext cx="3821199" cy="476811"/>
        </a:xfrm>
        <a:prstGeom prst="wedgeRoundRectCallout">
          <a:avLst>
            <a:gd name="adj1" fmla="val -62755"/>
            <a:gd name="adj2" fmla="val -6669"/>
            <a:gd name="adj3" fmla="val 16667"/>
          </a:avLst>
        </a:prstGeom>
        <a:solidFill>
          <a:srgbClr val="FFCCFF">
            <a:alpha val="81000"/>
          </a:srgbClr>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該当する業種を選択ください。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56032</xdr:colOff>
      <xdr:row>6</xdr:row>
      <xdr:rowOff>22413</xdr:rowOff>
    </xdr:from>
    <xdr:to>
      <xdr:col>1</xdr:col>
      <xdr:colOff>1064562</xdr:colOff>
      <xdr:row>144</xdr:row>
      <xdr:rowOff>22412</xdr:rowOff>
    </xdr:to>
    <xdr:sp macro="" textlink="">
      <xdr:nvSpPr>
        <xdr:cNvPr id="142" name="角丸四角形 141">
          <a:extLst>
            <a:ext uri="{FF2B5EF4-FFF2-40B4-BE49-F238E27FC236}">
              <a16:creationId xmlns:a16="http://schemas.microsoft.com/office/drawing/2014/main" id="{00000000-0008-0000-0500-00008E000000}"/>
            </a:ext>
          </a:extLst>
        </xdr:cNvPr>
        <xdr:cNvSpPr/>
      </xdr:nvSpPr>
      <xdr:spPr>
        <a:xfrm>
          <a:off x="347385" y="1591237"/>
          <a:ext cx="1008530" cy="2882152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139</xdr:row>
      <xdr:rowOff>112058</xdr:rowOff>
    </xdr:from>
    <xdr:to>
      <xdr:col>31</xdr:col>
      <xdr:colOff>165516</xdr:colOff>
      <xdr:row>141</xdr:row>
      <xdr:rowOff>137633</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
        <a:stretch>
          <a:fillRect/>
        </a:stretch>
      </xdr:blipFill>
      <xdr:spPr>
        <a:xfrm>
          <a:off x="4381500" y="32866852"/>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 uri="{FF2B5EF4-FFF2-40B4-BE49-F238E27FC236}">
                  <a16:creationId xmlns:a16="http://schemas.microsoft.com/office/drawing/2014/main" id="{00000000-0008-0000-07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3315" name="Group Box 3" hidden="1">
              <a:extLst>
                <a:ext uri="{63B3BB69-23CF-44E3-9099-C40C66FF867C}">
                  <a14:compatExt spid="_x0000_s13315"/>
                </a:ext>
                <a:ext uri="{FF2B5EF4-FFF2-40B4-BE49-F238E27FC236}">
                  <a16:creationId xmlns:a16="http://schemas.microsoft.com/office/drawing/2014/main" id="{00000000-0008-0000-0700-000003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16</xdr:row>
          <xdr:rowOff>95250</xdr:rowOff>
        </xdr:from>
        <xdr:to>
          <xdr:col>10</xdr:col>
          <xdr:colOff>107950</xdr:colOff>
          <xdr:row>16</xdr:row>
          <xdr:rowOff>285750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7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107</xdr:row>
          <xdr:rowOff>127000</xdr:rowOff>
        </xdr:from>
        <xdr:to>
          <xdr:col>9</xdr:col>
          <xdr:colOff>203200</xdr:colOff>
          <xdr:row>108</xdr:row>
          <xdr:rowOff>114300</xdr:rowOff>
        </xdr:to>
        <xdr:sp macro="" textlink="">
          <xdr:nvSpPr>
            <xdr:cNvPr id="13317" name="Option Button 5" hidden="1">
              <a:extLst>
                <a:ext uri="{63B3BB69-23CF-44E3-9099-C40C66FF867C}">
                  <a14:compatExt spid="_x0000_s13317"/>
                </a:ext>
                <a:ext uri="{FF2B5EF4-FFF2-40B4-BE49-F238E27FC236}">
                  <a16:creationId xmlns:a16="http://schemas.microsoft.com/office/drawing/2014/main" id="{00000000-0008-0000-07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107</xdr:row>
          <xdr:rowOff>127000</xdr:rowOff>
        </xdr:from>
        <xdr:to>
          <xdr:col>13</xdr:col>
          <xdr:colOff>114300</xdr:colOff>
          <xdr:row>108</xdr:row>
          <xdr:rowOff>107950</xdr:rowOff>
        </xdr:to>
        <xdr:sp macro="" textlink="">
          <xdr:nvSpPr>
            <xdr:cNvPr id="13318" name="Option Button 6" hidden="1">
              <a:extLst>
                <a:ext uri="{63B3BB69-23CF-44E3-9099-C40C66FF867C}">
                  <a14:compatExt spid="_x0000_s13318"/>
                </a:ext>
                <a:ext uri="{FF2B5EF4-FFF2-40B4-BE49-F238E27FC236}">
                  <a16:creationId xmlns:a16="http://schemas.microsoft.com/office/drawing/2014/main" id="{00000000-0008-0000-07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102</xdr:row>
          <xdr:rowOff>222250</xdr:rowOff>
        </xdr:from>
        <xdr:to>
          <xdr:col>27</xdr:col>
          <xdr:colOff>12700</xdr:colOff>
          <xdr:row>104</xdr:row>
          <xdr:rowOff>222250</xdr:rowOff>
        </xdr:to>
        <xdr:sp macro="" textlink="">
          <xdr:nvSpPr>
            <xdr:cNvPr id="13319" name="Group Box 7" hidden="1">
              <a:extLst>
                <a:ext uri="{63B3BB69-23CF-44E3-9099-C40C66FF867C}">
                  <a14:compatExt spid="_x0000_s13319"/>
                </a:ext>
                <a:ext uri="{FF2B5EF4-FFF2-40B4-BE49-F238E27FC236}">
                  <a16:creationId xmlns:a16="http://schemas.microsoft.com/office/drawing/2014/main" id="{00000000-0008-0000-0700-000007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103</xdr:row>
          <xdr:rowOff>0</xdr:rowOff>
        </xdr:from>
        <xdr:to>
          <xdr:col>46</xdr:col>
          <xdr:colOff>0</xdr:colOff>
          <xdr:row>104</xdr:row>
          <xdr:rowOff>222250</xdr:rowOff>
        </xdr:to>
        <xdr:sp macro="" textlink="">
          <xdr:nvSpPr>
            <xdr:cNvPr id="13320" name="Group Box 8" hidden="1">
              <a:extLst>
                <a:ext uri="{63B3BB69-23CF-44E3-9099-C40C66FF867C}">
                  <a14:compatExt spid="_x0000_s13320"/>
                </a:ext>
                <a:ext uri="{FF2B5EF4-FFF2-40B4-BE49-F238E27FC236}">
                  <a16:creationId xmlns:a16="http://schemas.microsoft.com/office/drawing/2014/main" id="{00000000-0008-0000-0700-00000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19050</xdr:rowOff>
        </xdr:from>
        <xdr:to>
          <xdr:col>41</xdr:col>
          <xdr:colOff>152400</xdr:colOff>
          <xdr:row>104</xdr:row>
          <xdr:rowOff>0</xdr:rowOff>
        </xdr:to>
        <xdr:sp macro="" textlink="">
          <xdr:nvSpPr>
            <xdr:cNvPr id="13321" name="Option Button 9" hidden="1">
              <a:extLst>
                <a:ext uri="{63B3BB69-23CF-44E3-9099-C40C66FF867C}">
                  <a14:compatExt spid="_x0000_s13321"/>
                </a:ext>
                <a:ext uri="{FF2B5EF4-FFF2-40B4-BE49-F238E27FC236}">
                  <a16:creationId xmlns:a16="http://schemas.microsoft.com/office/drawing/2014/main" id="{00000000-0008-0000-07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103</xdr:row>
          <xdr:rowOff>12700</xdr:rowOff>
        </xdr:from>
        <xdr:to>
          <xdr:col>44</xdr:col>
          <xdr:colOff>152400</xdr:colOff>
          <xdr:row>104</xdr:row>
          <xdr:rowOff>0</xdr:rowOff>
        </xdr:to>
        <xdr:sp macro="" textlink="">
          <xdr:nvSpPr>
            <xdr:cNvPr id="13322" name="Option Button 10" hidden="1">
              <a:extLst>
                <a:ext uri="{63B3BB69-23CF-44E3-9099-C40C66FF867C}">
                  <a14:compatExt spid="_x0000_s13322"/>
                </a:ext>
                <a:ext uri="{FF2B5EF4-FFF2-40B4-BE49-F238E27FC236}">
                  <a16:creationId xmlns:a16="http://schemas.microsoft.com/office/drawing/2014/main" id="{00000000-0008-0000-07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103</xdr:row>
          <xdr:rowOff>222250</xdr:rowOff>
        </xdr:from>
        <xdr:to>
          <xdr:col>41</xdr:col>
          <xdr:colOff>152400</xdr:colOff>
          <xdr:row>104</xdr:row>
          <xdr:rowOff>209550</xdr:rowOff>
        </xdr:to>
        <xdr:sp macro="" textlink="">
          <xdr:nvSpPr>
            <xdr:cNvPr id="13323" name="Option Button 11" hidden="1">
              <a:extLst>
                <a:ext uri="{63B3BB69-23CF-44E3-9099-C40C66FF867C}">
                  <a14:compatExt spid="_x0000_s13323"/>
                </a:ext>
                <a:ext uri="{FF2B5EF4-FFF2-40B4-BE49-F238E27FC236}">
                  <a16:creationId xmlns:a16="http://schemas.microsoft.com/office/drawing/2014/main" id="{00000000-0008-0000-07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76200</xdr:colOff>
          <xdr:row>104</xdr:row>
          <xdr:rowOff>0</xdr:rowOff>
        </xdr:from>
        <xdr:to>
          <xdr:col>44</xdr:col>
          <xdr:colOff>152400</xdr:colOff>
          <xdr:row>104</xdr:row>
          <xdr:rowOff>222250</xdr:rowOff>
        </xdr:to>
        <xdr:sp macro="" textlink="">
          <xdr:nvSpPr>
            <xdr:cNvPr id="13324" name="Option Button 12" hidden="1">
              <a:extLst>
                <a:ext uri="{63B3BB69-23CF-44E3-9099-C40C66FF867C}">
                  <a14:compatExt spid="_x0000_s13324"/>
                </a:ext>
                <a:ext uri="{FF2B5EF4-FFF2-40B4-BE49-F238E27FC236}">
                  <a16:creationId xmlns:a16="http://schemas.microsoft.com/office/drawing/2014/main" id="{00000000-0008-0000-07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16</xdr:col>
          <xdr:colOff>0</xdr:colOff>
          <xdr:row>108</xdr:row>
          <xdr:rowOff>222250</xdr:rowOff>
        </xdr:to>
        <xdr:sp macro="" textlink="">
          <xdr:nvSpPr>
            <xdr:cNvPr id="13325" name="Group Box 13" hidden="1">
              <a:extLst>
                <a:ext uri="{63B3BB69-23CF-44E3-9099-C40C66FF867C}">
                  <a14:compatExt spid="_x0000_s13325"/>
                </a:ext>
                <a:ext uri="{FF2B5EF4-FFF2-40B4-BE49-F238E27FC236}">
                  <a16:creationId xmlns:a16="http://schemas.microsoft.com/office/drawing/2014/main" id="{00000000-0008-0000-0700-00000D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90</xdr:row>
          <xdr:rowOff>12700</xdr:rowOff>
        </xdr:from>
        <xdr:to>
          <xdr:col>23</xdr:col>
          <xdr:colOff>12700</xdr:colOff>
          <xdr:row>90</xdr:row>
          <xdr:rowOff>209550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7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90</xdr:row>
          <xdr:rowOff>12700</xdr:rowOff>
        </xdr:from>
        <xdr:to>
          <xdr:col>14</xdr:col>
          <xdr:colOff>31750</xdr:colOff>
          <xdr:row>90</xdr:row>
          <xdr:rowOff>209550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7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90</xdr:row>
          <xdr:rowOff>12700</xdr:rowOff>
        </xdr:from>
        <xdr:to>
          <xdr:col>27</xdr:col>
          <xdr:colOff>50800</xdr:colOff>
          <xdr:row>90</xdr:row>
          <xdr:rowOff>209550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7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90</xdr:row>
          <xdr:rowOff>12700</xdr:rowOff>
        </xdr:from>
        <xdr:to>
          <xdr:col>32</xdr:col>
          <xdr:colOff>95250</xdr:colOff>
          <xdr:row>90</xdr:row>
          <xdr:rowOff>209550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7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103</xdr:row>
          <xdr:rowOff>12700</xdr:rowOff>
        </xdr:from>
        <xdr:to>
          <xdr:col>19</xdr:col>
          <xdr:colOff>165100</xdr:colOff>
          <xdr:row>103</xdr:row>
          <xdr:rowOff>222250</xdr:rowOff>
        </xdr:to>
        <xdr:sp macro="" textlink="">
          <xdr:nvSpPr>
            <xdr:cNvPr id="13330" name="Option Button 18" hidden="1">
              <a:extLst>
                <a:ext uri="{63B3BB69-23CF-44E3-9099-C40C66FF867C}">
                  <a14:compatExt spid="_x0000_s13330"/>
                </a:ext>
                <a:ext uri="{FF2B5EF4-FFF2-40B4-BE49-F238E27FC236}">
                  <a16:creationId xmlns:a16="http://schemas.microsoft.com/office/drawing/2014/main" id="{00000000-0008-0000-07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103</xdr:row>
          <xdr:rowOff>31750</xdr:rowOff>
        </xdr:from>
        <xdr:to>
          <xdr:col>22</xdr:col>
          <xdr:colOff>165100</xdr:colOff>
          <xdr:row>104</xdr:row>
          <xdr:rowOff>12700</xdr:rowOff>
        </xdr:to>
        <xdr:sp macro="" textlink="">
          <xdr:nvSpPr>
            <xdr:cNvPr id="13341" name="Option Button 29" hidden="1">
              <a:extLst>
                <a:ext uri="{63B3BB69-23CF-44E3-9099-C40C66FF867C}">
                  <a14:compatExt spid="_x0000_s13341"/>
                </a:ext>
                <a:ext uri="{FF2B5EF4-FFF2-40B4-BE49-F238E27FC236}">
                  <a16:creationId xmlns:a16="http://schemas.microsoft.com/office/drawing/2014/main" id="{00000000-0008-0000-07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103</xdr:row>
          <xdr:rowOff>12700</xdr:rowOff>
        </xdr:from>
        <xdr:to>
          <xdr:col>25</xdr:col>
          <xdr:colOff>146050</xdr:colOff>
          <xdr:row>103</xdr:row>
          <xdr:rowOff>222250</xdr:rowOff>
        </xdr:to>
        <xdr:sp macro="" textlink="">
          <xdr:nvSpPr>
            <xdr:cNvPr id="13342" name="Option Button 30" hidden="1">
              <a:extLst>
                <a:ext uri="{63B3BB69-23CF-44E3-9099-C40C66FF867C}">
                  <a14:compatExt spid="_x0000_s13342"/>
                </a:ext>
                <a:ext uri="{FF2B5EF4-FFF2-40B4-BE49-F238E27FC236}">
                  <a16:creationId xmlns:a16="http://schemas.microsoft.com/office/drawing/2014/main" id="{00000000-0008-0000-07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104</xdr:row>
          <xdr:rowOff>19050</xdr:rowOff>
        </xdr:from>
        <xdr:to>
          <xdr:col>19</xdr:col>
          <xdr:colOff>165100</xdr:colOff>
          <xdr:row>104</xdr:row>
          <xdr:rowOff>222250</xdr:rowOff>
        </xdr:to>
        <xdr:sp macro="" textlink="">
          <xdr:nvSpPr>
            <xdr:cNvPr id="13343" name="Option Button 31" hidden="1">
              <a:extLst>
                <a:ext uri="{63B3BB69-23CF-44E3-9099-C40C66FF867C}">
                  <a14:compatExt spid="_x0000_s13343"/>
                </a:ext>
                <a:ext uri="{FF2B5EF4-FFF2-40B4-BE49-F238E27FC236}">
                  <a16:creationId xmlns:a16="http://schemas.microsoft.com/office/drawing/2014/main" id="{00000000-0008-0000-07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104</xdr:row>
          <xdr:rowOff>19050</xdr:rowOff>
        </xdr:from>
        <xdr:to>
          <xdr:col>22</xdr:col>
          <xdr:colOff>165100</xdr:colOff>
          <xdr:row>104</xdr:row>
          <xdr:rowOff>209550</xdr:rowOff>
        </xdr:to>
        <xdr:sp macro="" textlink="">
          <xdr:nvSpPr>
            <xdr:cNvPr id="13344" name="Option Button 32" hidden="1">
              <a:extLst>
                <a:ext uri="{63B3BB69-23CF-44E3-9099-C40C66FF867C}">
                  <a14:compatExt spid="_x0000_s13344"/>
                </a:ext>
                <a:ext uri="{FF2B5EF4-FFF2-40B4-BE49-F238E27FC236}">
                  <a16:creationId xmlns:a16="http://schemas.microsoft.com/office/drawing/2014/main" id="{00000000-0008-0000-07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104</xdr:row>
          <xdr:rowOff>12700</xdr:rowOff>
        </xdr:from>
        <xdr:to>
          <xdr:col>25</xdr:col>
          <xdr:colOff>146050</xdr:colOff>
          <xdr:row>104</xdr:row>
          <xdr:rowOff>209550</xdr:rowOff>
        </xdr:to>
        <xdr:sp macro="" textlink="">
          <xdr:nvSpPr>
            <xdr:cNvPr id="13345" name="Option Button 33" hidden="1">
              <a:extLst>
                <a:ext uri="{63B3BB69-23CF-44E3-9099-C40C66FF867C}">
                  <a14:compatExt spid="_x0000_s13345"/>
                </a:ext>
                <a:ext uri="{FF2B5EF4-FFF2-40B4-BE49-F238E27FC236}">
                  <a16:creationId xmlns:a16="http://schemas.microsoft.com/office/drawing/2014/main" id="{00000000-0008-0000-07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11205</xdr:colOff>
      <xdr:row>24</xdr:row>
      <xdr:rowOff>11205</xdr:rowOff>
    </xdr:from>
    <xdr:to>
      <xdr:col>11</xdr:col>
      <xdr:colOff>193588</xdr:colOff>
      <xdr:row>25</xdr:row>
      <xdr:rowOff>111088</xdr:rowOff>
    </xdr:to>
    <xdr:sp macro="" textlink="">
      <xdr:nvSpPr>
        <xdr:cNvPr id="40" name="角丸四角形 39">
          <a:extLst>
            <a:ext uri="{FF2B5EF4-FFF2-40B4-BE49-F238E27FC236}">
              <a16:creationId xmlns:a16="http://schemas.microsoft.com/office/drawing/2014/main" id="{00000000-0008-0000-0700-000028000000}"/>
            </a:ext>
          </a:extLst>
        </xdr:cNvPr>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editAs="oneCell">
    <xdr:from>
      <xdr:col>2</xdr:col>
      <xdr:colOff>11208</xdr:colOff>
      <xdr:row>45</xdr:row>
      <xdr:rowOff>11189</xdr:rowOff>
    </xdr:from>
    <xdr:to>
      <xdr:col>11</xdr:col>
      <xdr:colOff>193591</xdr:colOff>
      <xdr:row>46</xdr:row>
      <xdr:rowOff>111072</xdr:rowOff>
    </xdr:to>
    <xdr:sp macro="" textlink="">
      <xdr:nvSpPr>
        <xdr:cNvPr id="41" name="角丸四角形 40">
          <a:extLst>
            <a:ext uri="{FF2B5EF4-FFF2-40B4-BE49-F238E27FC236}">
              <a16:creationId xmlns:a16="http://schemas.microsoft.com/office/drawing/2014/main" id="{00000000-0008-0000-0700-000029000000}"/>
            </a:ext>
          </a:extLst>
        </xdr:cNvPr>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editAs="oneCell">
    <xdr:from>
      <xdr:col>2</xdr:col>
      <xdr:colOff>11195</xdr:colOff>
      <xdr:row>56</xdr:row>
      <xdr:rowOff>224115</xdr:rowOff>
    </xdr:from>
    <xdr:to>
      <xdr:col>11</xdr:col>
      <xdr:colOff>193578</xdr:colOff>
      <xdr:row>58</xdr:row>
      <xdr:rowOff>99879</xdr:rowOff>
    </xdr:to>
    <xdr:sp macro="" textlink="">
      <xdr:nvSpPr>
        <xdr:cNvPr id="48" name="角丸四角形 47">
          <a:extLst>
            <a:ext uri="{FF2B5EF4-FFF2-40B4-BE49-F238E27FC236}">
              <a16:creationId xmlns:a16="http://schemas.microsoft.com/office/drawing/2014/main" id="{00000000-0008-0000-0700-000030000000}"/>
            </a:ext>
          </a:extLst>
        </xdr:cNvPr>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68</xdr:row>
          <xdr:rowOff>19050</xdr:rowOff>
        </xdr:from>
        <xdr:to>
          <xdr:col>9</xdr:col>
          <xdr:colOff>165100</xdr:colOff>
          <xdr:row>69</xdr:row>
          <xdr:rowOff>0</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7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244911</xdr:colOff>
      <xdr:row>75</xdr:row>
      <xdr:rowOff>21292</xdr:rowOff>
    </xdr:from>
    <xdr:to>
      <xdr:col>36</xdr:col>
      <xdr:colOff>170352</xdr:colOff>
      <xdr:row>76</xdr:row>
      <xdr:rowOff>13174</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6172823" y="14644968"/>
          <a:ext cx="327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0">
              <a:solidFill>
                <a:srgbClr val="FF6600"/>
              </a:solidFill>
              <a:latin typeface="Meiryo UI" panose="020B0604030504040204" pitchFamily="50" charset="-128"/>
              <a:ea typeface="Meiryo UI" panose="020B0604030504040204" pitchFamily="50" charset="-128"/>
              <a:cs typeface="Meiryo UI" panose="020B0604030504040204" pitchFamily="50" charset="-128"/>
            </a:rPr>
            <a:t>カードご利用明細およびレシートに記載される表記です。</a:t>
          </a:r>
          <a:endParaRPr kumimoji="1" lang="en-US" altLang="ja-JP" sz="100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79</xdr:row>
          <xdr:rowOff>12700</xdr:rowOff>
        </xdr:from>
        <xdr:to>
          <xdr:col>27</xdr:col>
          <xdr:colOff>0</xdr:colOff>
          <xdr:row>79</xdr:row>
          <xdr:rowOff>222250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7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79</xdr:row>
          <xdr:rowOff>12700</xdr:rowOff>
        </xdr:from>
        <xdr:to>
          <xdr:col>31</xdr:col>
          <xdr:colOff>0</xdr:colOff>
          <xdr:row>79</xdr:row>
          <xdr:rowOff>222250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7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79</xdr:row>
          <xdr:rowOff>12700</xdr:rowOff>
        </xdr:from>
        <xdr:to>
          <xdr:col>29</xdr:col>
          <xdr:colOff>3362</xdr:colOff>
          <xdr:row>79</xdr:row>
          <xdr:rowOff>222250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7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79</xdr:row>
          <xdr:rowOff>12700</xdr:rowOff>
        </xdr:from>
        <xdr:to>
          <xdr:col>33</xdr:col>
          <xdr:colOff>0</xdr:colOff>
          <xdr:row>79</xdr:row>
          <xdr:rowOff>222250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7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79</xdr:row>
          <xdr:rowOff>12700</xdr:rowOff>
        </xdr:from>
        <xdr:to>
          <xdr:col>35</xdr:col>
          <xdr:colOff>0</xdr:colOff>
          <xdr:row>79</xdr:row>
          <xdr:rowOff>222250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7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79</xdr:row>
          <xdr:rowOff>12700</xdr:rowOff>
        </xdr:from>
        <xdr:to>
          <xdr:col>37</xdr:col>
          <xdr:colOff>0</xdr:colOff>
          <xdr:row>79</xdr:row>
          <xdr:rowOff>222250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7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79</xdr:row>
          <xdr:rowOff>12700</xdr:rowOff>
        </xdr:from>
        <xdr:to>
          <xdr:col>39</xdr:col>
          <xdr:colOff>0</xdr:colOff>
          <xdr:row>79</xdr:row>
          <xdr:rowOff>222250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7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79</xdr:row>
          <xdr:rowOff>12700</xdr:rowOff>
        </xdr:from>
        <xdr:to>
          <xdr:col>41</xdr:col>
          <xdr:colOff>19050</xdr:colOff>
          <xdr:row>79</xdr:row>
          <xdr:rowOff>222250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7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11206</xdr:colOff>
      <xdr:row>101</xdr:row>
      <xdr:rowOff>11203</xdr:rowOff>
    </xdr:from>
    <xdr:to>
      <xdr:col>11</xdr:col>
      <xdr:colOff>194283</xdr:colOff>
      <xdr:row>102</xdr:row>
      <xdr:rowOff>111086</xdr:rowOff>
    </xdr:to>
    <xdr:sp macro="" textlink="">
      <xdr:nvSpPr>
        <xdr:cNvPr id="65" name="角丸四角形 64">
          <a:extLst>
            <a:ext uri="{FF2B5EF4-FFF2-40B4-BE49-F238E27FC236}">
              <a16:creationId xmlns:a16="http://schemas.microsoft.com/office/drawing/2014/main" id="{00000000-0008-0000-0700-000041000000}"/>
            </a:ext>
          </a:extLst>
        </xdr:cNvPr>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editAs="oneCell">
    <xdr:from>
      <xdr:col>2</xdr:col>
      <xdr:colOff>0</xdr:colOff>
      <xdr:row>114</xdr:row>
      <xdr:rowOff>0</xdr:rowOff>
    </xdr:from>
    <xdr:to>
      <xdr:col>11</xdr:col>
      <xdr:colOff>183077</xdr:colOff>
      <xdr:row>115</xdr:row>
      <xdr:rowOff>99882</xdr:rowOff>
    </xdr:to>
    <xdr:sp macro="" textlink="">
      <xdr:nvSpPr>
        <xdr:cNvPr id="66" name="角丸四角形 65">
          <a:extLst>
            <a:ext uri="{FF2B5EF4-FFF2-40B4-BE49-F238E27FC236}">
              <a16:creationId xmlns:a16="http://schemas.microsoft.com/office/drawing/2014/main" id="{00000000-0008-0000-0700-000042000000}"/>
            </a:ext>
          </a:extLst>
        </xdr:cNvPr>
        <xdr:cNvSpPr/>
      </xdr:nvSpPr>
      <xdr:spPr>
        <a:xfrm>
          <a:off x="515471" y="20674853"/>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126</xdr:row>
          <xdr:rowOff>222250</xdr:rowOff>
        </xdr:from>
        <xdr:to>
          <xdr:col>46</xdr:col>
          <xdr:colOff>3362</xdr:colOff>
          <xdr:row>127</xdr:row>
          <xdr:rowOff>222250</xdr:rowOff>
        </xdr:to>
        <xdr:sp macro="" textlink="">
          <xdr:nvSpPr>
            <xdr:cNvPr id="13377" name="Group Box 65" hidden="1">
              <a:extLst>
                <a:ext uri="{63B3BB69-23CF-44E3-9099-C40C66FF867C}">
                  <a14:compatExt spid="_x0000_s13377"/>
                </a:ext>
                <a:ext uri="{FF2B5EF4-FFF2-40B4-BE49-F238E27FC236}">
                  <a16:creationId xmlns:a16="http://schemas.microsoft.com/office/drawing/2014/main" id="{00000000-0008-0000-0700-00004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90</xdr:row>
          <xdr:rowOff>0</xdr:rowOff>
        </xdr:from>
        <xdr:to>
          <xdr:col>10</xdr:col>
          <xdr:colOff>38100</xdr:colOff>
          <xdr:row>90</xdr:row>
          <xdr:rowOff>222250</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7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90</xdr:row>
          <xdr:rowOff>0</xdr:rowOff>
        </xdr:from>
        <xdr:to>
          <xdr:col>18</xdr:col>
          <xdr:colOff>19050</xdr:colOff>
          <xdr:row>90</xdr:row>
          <xdr:rowOff>209550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7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127000</xdr:rowOff>
        </xdr:from>
        <xdr:to>
          <xdr:col>11</xdr:col>
          <xdr:colOff>50800</xdr:colOff>
          <xdr:row>93</xdr:row>
          <xdr:rowOff>107950</xdr:rowOff>
        </xdr:to>
        <xdr:sp macro="" textlink="">
          <xdr:nvSpPr>
            <xdr:cNvPr id="13433" name="Option Button 121" hidden="1">
              <a:extLst>
                <a:ext uri="{63B3BB69-23CF-44E3-9099-C40C66FF867C}">
                  <a14:compatExt spid="_x0000_s13433"/>
                </a:ext>
                <a:ext uri="{FF2B5EF4-FFF2-40B4-BE49-F238E27FC236}">
                  <a16:creationId xmlns:a16="http://schemas.microsoft.com/office/drawing/2014/main" id="{00000000-0008-0000-0700-00007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127000</xdr:rowOff>
        </xdr:from>
        <xdr:to>
          <xdr:col>15</xdr:col>
          <xdr:colOff>50800</xdr:colOff>
          <xdr:row>93</xdr:row>
          <xdr:rowOff>107950</xdr:rowOff>
        </xdr:to>
        <xdr:sp macro="" textlink="">
          <xdr:nvSpPr>
            <xdr:cNvPr id="13434" name="Option Button 122" hidden="1">
              <a:extLst>
                <a:ext uri="{63B3BB69-23CF-44E3-9099-C40C66FF867C}">
                  <a14:compatExt spid="_x0000_s13434"/>
                </a:ext>
                <a:ext uri="{FF2B5EF4-FFF2-40B4-BE49-F238E27FC236}">
                  <a16:creationId xmlns:a16="http://schemas.microsoft.com/office/drawing/2014/main" id="{00000000-0008-0000-07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17</xdr:col>
          <xdr:colOff>0</xdr:colOff>
          <xdr:row>94</xdr:row>
          <xdr:rowOff>0</xdr:rowOff>
        </xdr:to>
        <xdr:sp macro="" textlink="">
          <xdr:nvSpPr>
            <xdr:cNvPr id="13435" name="Group Box 123" hidden="1">
              <a:extLst>
                <a:ext uri="{63B3BB69-23CF-44E3-9099-C40C66FF867C}">
                  <a14:compatExt spid="_x0000_s13435"/>
                </a:ext>
                <a:ext uri="{FF2B5EF4-FFF2-40B4-BE49-F238E27FC236}">
                  <a16:creationId xmlns:a16="http://schemas.microsoft.com/office/drawing/2014/main" id="{00000000-0008-0000-0700-00007B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114300</xdr:rowOff>
        </xdr:from>
        <xdr:to>
          <xdr:col>11</xdr:col>
          <xdr:colOff>50800</xdr:colOff>
          <xdr:row>95</xdr:row>
          <xdr:rowOff>95250</xdr:rowOff>
        </xdr:to>
        <xdr:sp macro="" textlink="">
          <xdr:nvSpPr>
            <xdr:cNvPr id="13437" name="Option Button 125" hidden="1">
              <a:extLst>
                <a:ext uri="{63B3BB69-23CF-44E3-9099-C40C66FF867C}">
                  <a14:compatExt spid="_x0000_s13437"/>
                </a:ext>
                <a:ext uri="{FF2B5EF4-FFF2-40B4-BE49-F238E27FC236}">
                  <a16:creationId xmlns:a16="http://schemas.microsoft.com/office/drawing/2014/main" id="{00000000-0008-0000-07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94</xdr:row>
          <xdr:rowOff>114300</xdr:rowOff>
        </xdr:from>
        <xdr:to>
          <xdr:col>15</xdr:col>
          <xdr:colOff>50800</xdr:colOff>
          <xdr:row>95</xdr:row>
          <xdr:rowOff>95250</xdr:rowOff>
        </xdr:to>
        <xdr:sp macro="" textlink="">
          <xdr:nvSpPr>
            <xdr:cNvPr id="13438" name="Option Button 126" hidden="1">
              <a:extLst>
                <a:ext uri="{63B3BB69-23CF-44E3-9099-C40C66FF867C}">
                  <a14:compatExt spid="_x0000_s13438"/>
                </a:ext>
                <a:ext uri="{FF2B5EF4-FFF2-40B4-BE49-F238E27FC236}">
                  <a16:creationId xmlns:a16="http://schemas.microsoft.com/office/drawing/2014/main" id="{00000000-0008-0000-07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17</xdr:col>
          <xdr:colOff>0</xdr:colOff>
          <xdr:row>96</xdr:row>
          <xdr:rowOff>0</xdr:rowOff>
        </xdr:to>
        <xdr:sp macro="" textlink="">
          <xdr:nvSpPr>
            <xdr:cNvPr id="13439" name="Group Box 127" hidden="1">
              <a:extLst>
                <a:ext uri="{63B3BB69-23CF-44E3-9099-C40C66FF867C}">
                  <a14:compatExt spid="_x0000_s13439"/>
                </a:ext>
                <a:ext uri="{FF2B5EF4-FFF2-40B4-BE49-F238E27FC236}">
                  <a16:creationId xmlns:a16="http://schemas.microsoft.com/office/drawing/2014/main" id="{00000000-0008-0000-0700-00007F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127000</xdr:rowOff>
        </xdr:from>
        <xdr:to>
          <xdr:col>26</xdr:col>
          <xdr:colOff>69850</xdr:colOff>
          <xdr:row>93</xdr:row>
          <xdr:rowOff>107950</xdr:rowOff>
        </xdr:to>
        <xdr:sp macro="" textlink="">
          <xdr:nvSpPr>
            <xdr:cNvPr id="13440" name="Option Button 128" hidden="1">
              <a:extLst>
                <a:ext uri="{63B3BB69-23CF-44E3-9099-C40C66FF867C}">
                  <a14:compatExt spid="_x0000_s13440"/>
                </a:ext>
                <a:ext uri="{FF2B5EF4-FFF2-40B4-BE49-F238E27FC236}">
                  <a16:creationId xmlns:a16="http://schemas.microsoft.com/office/drawing/2014/main" id="{00000000-0008-0000-07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92</xdr:row>
          <xdr:rowOff>127000</xdr:rowOff>
        </xdr:from>
        <xdr:to>
          <xdr:col>30</xdr:col>
          <xdr:colOff>69850</xdr:colOff>
          <xdr:row>93</xdr:row>
          <xdr:rowOff>107950</xdr:rowOff>
        </xdr:to>
        <xdr:sp macro="" textlink="">
          <xdr:nvSpPr>
            <xdr:cNvPr id="13441" name="Option Button 129" hidden="1">
              <a:extLst>
                <a:ext uri="{63B3BB69-23CF-44E3-9099-C40C66FF867C}">
                  <a14:compatExt spid="_x0000_s13441"/>
                </a:ext>
                <a:ext uri="{FF2B5EF4-FFF2-40B4-BE49-F238E27FC236}">
                  <a16:creationId xmlns:a16="http://schemas.microsoft.com/office/drawing/2014/main" id="{00000000-0008-0000-07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94</xdr:row>
          <xdr:rowOff>114300</xdr:rowOff>
        </xdr:from>
        <xdr:to>
          <xdr:col>26</xdr:col>
          <xdr:colOff>69850</xdr:colOff>
          <xdr:row>95</xdr:row>
          <xdr:rowOff>95250</xdr:rowOff>
        </xdr:to>
        <xdr:sp macro="" textlink="">
          <xdr:nvSpPr>
            <xdr:cNvPr id="13442" name="Option Button 130" hidden="1">
              <a:extLst>
                <a:ext uri="{63B3BB69-23CF-44E3-9099-C40C66FF867C}">
                  <a14:compatExt spid="_x0000_s13442"/>
                </a:ext>
                <a:ext uri="{FF2B5EF4-FFF2-40B4-BE49-F238E27FC236}">
                  <a16:creationId xmlns:a16="http://schemas.microsoft.com/office/drawing/2014/main" id="{00000000-0008-0000-07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94</xdr:row>
          <xdr:rowOff>114300</xdr:rowOff>
        </xdr:from>
        <xdr:to>
          <xdr:col>30</xdr:col>
          <xdr:colOff>69850</xdr:colOff>
          <xdr:row>95</xdr:row>
          <xdr:rowOff>95250</xdr:rowOff>
        </xdr:to>
        <xdr:sp macro="" textlink="">
          <xdr:nvSpPr>
            <xdr:cNvPr id="13443" name="Option Button 131" hidden="1">
              <a:extLst>
                <a:ext uri="{63B3BB69-23CF-44E3-9099-C40C66FF867C}">
                  <a14:compatExt spid="_x0000_s13443"/>
                </a:ext>
                <a:ext uri="{FF2B5EF4-FFF2-40B4-BE49-F238E27FC236}">
                  <a16:creationId xmlns:a16="http://schemas.microsoft.com/office/drawing/2014/main" id="{00000000-0008-0000-07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127000</xdr:rowOff>
        </xdr:from>
        <xdr:to>
          <xdr:col>41</xdr:col>
          <xdr:colOff>69850</xdr:colOff>
          <xdr:row>93</xdr:row>
          <xdr:rowOff>107950</xdr:rowOff>
        </xdr:to>
        <xdr:sp macro="" textlink="">
          <xdr:nvSpPr>
            <xdr:cNvPr id="13444" name="Option Button 132" hidden="1">
              <a:extLst>
                <a:ext uri="{63B3BB69-23CF-44E3-9099-C40C66FF867C}">
                  <a14:compatExt spid="_x0000_s13444"/>
                </a:ext>
                <a:ext uri="{FF2B5EF4-FFF2-40B4-BE49-F238E27FC236}">
                  <a16:creationId xmlns:a16="http://schemas.microsoft.com/office/drawing/2014/main" id="{00000000-0008-0000-07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127000</xdr:rowOff>
        </xdr:from>
        <xdr:to>
          <xdr:col>45</xdr:col>
          <xdr:colOff>69850</xdr:colOff>
          <xdr:row>93</xdr:row>
          <xdr:rowOff>107950</xdr:rowOff>
        </xdr:to>
        <xdr:sp macro="" textlink="">
          <xdr:nvSpPr>
            <xdr:cNvPr id="13445" name="Option Button 133" hidden="1">
              <a:extLst>
                <a:ext uri="{63B3BB69-23CF-44E3-9099-C40C66FF867C}">
                  <a14:compatExt spid="_x0000_s13445"/>
                </a:ext>
                <a:ext uri="{FF2B5EF4-FFF2-40B4-BE49-F238E27FC236}">
                  <a16:creationId xmlns:a16="http://schemas.microsoft.com/office/drawing/2014/main" id="{00000000-0008-0000-07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114300</xdr:rowOff>
        </xdr:from>
        <xdr:to>
          <xdr:col>41</xdr:col>
          <xdr:colOff>69850</xdr:colOff>
          <xdr:row>95</xdr:row>
          <xdr:rowOff>95250</xdr:rowOff>
        </xdr:to>
        <xdr:sp macro="" textlink="">
          <xdr:nvSpPr>
            <xdr:cNvPr id="13446" name="Option Button 134" hidden="1">
              <a:extLst>
                <a:ext uri="{63B3BB69-23CF-44E3-9099-C40C66FF867C}">
                  <a14:compatExt spid="_x0000_s13446"/>
                </a:ext>
                <a:ext uri="{FF2B5EF4-FFF2-40B4-BE49-F238E27FC236}">
                  <a16:creationId xmlns:a16="http://schemas.microsoft.com/office/drawing/2014/main" id="{00000000-0008-0000-07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114300</xdr:rowOff>
        </xdr:from>
        <xdr:to>
          <xdr:col>45</xdr:col>
          <xdr:colOff>69850</xdr:colOff>
          <xdr:row>95</xdr:row>
          <xdr:rowOff>95250</xdr:rowOff>
        </xdr:to>
        <xdr:sp macro="" textlink="">
          <xdr:nvSpPr>
            <xdr:cNvPr id="13447" name="Option Button 135" hidden="1">
              <a:extLst>
                <a:ext uri="{63B3BB69-23CF-44E3-9099-C40C66FF867C}">
                  <a14:compatExt spid="_x0000_s13447"/>
                </a:ext>
                <a:ext uri="{FF2B5EF4-FFF2-40B4-BE49-F238E27FC236}">
                  <a16:creationId xmlns:a16="http://schemas.microsoft.com/office/drawing/2014/main" id="{00000000-0008-0000-07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0</xdr:rowOff>
        </xdr:from>
        <xdr:to>
          <xdr:col>32</xdr:col>
          <xdr:colOff>0</xdr:colOff>
          <xdr:row>94</xdr:row>
          <xdr:rowOff>0</xdr:rowOff>
        </xdr:to>
        <xdr:sp macro="" textlink="">
          <xdr:nvSpPr>
            <xdr:cNvPr id="13448" name="Group Box 136" hidden="1">
              <a:extLst>
                <a:ext uri="{63B3BB69-23CF-44E3-9099-C40C66FF867C}">
                  <a14:compatExt spid="_x0000_s13448"/>
                </a:ext>
                <a:ext uri="{FF2B5EF4-FFF2-40B4-BE49-F238E27FC236}">
                  <a16:creationId xmlns:a16="http://schemas.microsoft.com/office/drawing/2014/main" id="{00000000-0008-0000-0700-00008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0</xdr:rowOff>
        </xdr:from>
        <xdr:to>
          <xdr:col>32</xdr:col>
          <xdr:colOff>0</xdr:colOff>
          <xdr:row>96</xdr:row>
          <xdr:rowOff>0</xdr:rowOff>
        </xdr:to>
        <xdr:sp macro="" textlink="">
          <xdr:nvSpPr>
            <xdr:cNvPr id="13449" name="Group Box 137" hidden="1">
              <a:extLst>
                <a:ext uri="{63B3BB69-23CF-44E3-9099-C40C66FF867C}">
                  <a14:compatExt spid="_x0000_s13449"/>
                </a:ext>
                <a:ext uri="{FF2B5EF4-FFF2-40B4-BE49-F238E27FC236}">
                  <a16:creationId xmlns:a16="http://schemas.microsoft.com/office/drawing/2014/main" id="{00000000-0008-0000-0700-00008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92</xdr:row>
          <xdr:rowOff>0</xdr:rowOff>
        </xdr:from>
        <xdr:to>
          <xdr:col>46</xdr:col>
          <xdr:colOff>0</xdr:colOff>
          <xdr:row>94</xdr:row>
          <xdr:rowOff>0</xdr:rowOff>
        </xdr:to>
        <xdr:sp macro="" textlink="">
          <xdr:nvSpPr>
            <xdr:cNvPr id="13450" name="Group Box 138" hidden="1">
              <a:extLst>
                <a:ext uri="{63B3BB69-23CF-44E3-9099-C40C66FF867C}">
                  <a14:compatExt spid="_x0000_s13450"/>
                </a:ext>
                <a:ext uri="{FF2B5EF4-FFF2-40B4-BE49-F238E27FC236}">
                  <a16:creationId xmlns:a16="http://schemas.microsoft.com/office/drawing/2014/main" id="{00000000-0008-0000-0700-00008A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0</xdr:rowOff>
        </xdr:from>
        <xdr:to>
          <xdr:col>46</xdr:col>
          <xdr:colOff>0</xdr:colOff>
          <xdr:row>96</xdr:row>
          <xdr:rowOff>0</xdr:rowOff>
        </xdr:to>
        <xdr:sp macro="" textlink="">
          <xdr:nvSpPr>
            <xdr:cNvPr id="13451" name="Group Box 139" hidden="1">
              <a:extLst>
                <a:ext uri="{63B3BB69-23CF-44E3-9099-C40C66FF867C}">
                  <a14:compatExt spid="_x0000_s13451"/>
                </a:ext>
                <a:ext uri="{FF2B5EF4-FFF2-40B4-BE49-F238E27FC236}">
                  <a16:creationId xmlns:a16="http://schemas.microsoft.com/office/drawing/2014/main" id="{00000000-0008-0000-0700-00008B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20</xdr:row>
          <xdr:rowOff>69850</xdr:rowOff>
        </xdr:from>
        <xdr:to>
          <xdr:col>42</xdr:col>
          <xdr:colOff>107950</xdr:colOff>
          <xdr:row>21</xdr:row>
          <xdr:rowOff>95250</xdr:rowOff>
        </xdr:to>
        <xdr:sp macro="" textlink="">
          <xdr:nvSpPr>
            <xdr:cNvPr id="13454" name="Option Button 142" hidden="1">
              <a:extLst>
                <a:ext uri="{63B3BB69-23CF-44E3-9099-C40C66FF867C}">
                  <a14:compatExt spid="_x0000_s13454"/>
                </a:ext>
                <a:ext uri="{FF2B5EF4-FFF2-40B4-BE49-F238E27FC236}">
                  <a16:creationId xmlns:a16="http://schemas.microsoft.com/office/drawing/2014/main" id="{00000000-0008-0000-07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127000</xdr:colOff>
          <xdr:row>20</xdr:row>
          <xdr:rowOff>69850</xdr:rowOff>
        </xdr:from>
        <xdr:to>
          <xdr:col>44</xdr:col>
          <xdr:colOff>222250</xdr:colOff>
          <xdr:row>21</xdr:row>
          <xdr:rowOff>95250</xdr:rowOff>
        </xdr:to>
        <xdr:sp macro="" textlink="">
          <xdr:nvSpPr>
            <xdr:cNvPr id="13455" name="Option Button 143" hidden="1">
              <a:extLst>
                <a:ext uri="{63B3BB69-23CF-44E3-9099-C40C66FF867C}">
                  <a14:compatExt spid="_x0000_s13455"/>
                </a:ext>
                <a:ext uri="{FF2B5EF4-FFF2-40B4-BE49-F238E27FC236}">
                  <a16:creationId xmlns:a16="http://schemas.microsoft.com/office/drawing/2014/main" id="{00000000-0008-0000-07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152400</xdr:colOff>
          <xdr:row>19</xdr:row>
          <xdr:rowOff>19050</xdr:rowOff>
        </xdr:from>
        <xdr:to>
          <xdr:col>45</xdr:col>
          <xdr:colOff>228600</xdr:colOff>
          <xdr:row>21</xdr:row>
          <xdr:rowOff>203200</xdr:rowOff>
        </xdr:to>
        <xdr:sp macro="" textlink="">
          <xdr:nvSpPr>
            <xdr:cNvPr id="13456" name="Group Box 144" hidden="1">
              <a:extLst>
                <a:ext uri="{63B3BB69-23CF-44E3-9099-C40C66FF867C}">
                  <a14:compatExt spid="_x0000_s13456"/>
                </a:ext>
                <a:ext uri="{FF2B5EF4-FFF2-40B4-BE49-F238E27FC236}">
                  <a16:creationId xmlns:a16="http://schemas.microsoft.com/office/drawing/2014/main" id="{00000000-0008-0000-0700-000090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127</xdr:row>
          <xdr:rowOff>12700</xdr:rowOff>
        </xdr:from>
        <xdr:to>
          <xdr:col>12</xdr:col>
          <xdr:colOff>31750</xdr:colOff>
          <xdr:row>127</xdr:row>
          <xdr:rowOff>203200</xdr:rowOff>
        </xdr:to>
        <xdr:sp macro="" textlink="">
          <xdr:nvSpPr>
            <xdr:cNvPr id="13465" name="Option Button 153" hidden="1">
              <a:extLst>
                <a:ext uri="{63B3BB69-23CF-44E3-9099-C40C66FF867C}">
                  <a14:compatExt spid="_x0000_s13465"/>
                </a:ext>
                <a:ext uri="{FF2B5EF4-FFF2-40B4-BE49-F238E27FC236}">
                  <a16:creationId xmlns:a16="http://schemas.microsoft.com/office/drawing/2014/main" id="{00000000-0008-0000-07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222250</xdr:colOff>
          <xdr:row>127</xdr:row>
          <xdr:rowOff>12700</xdr:rowOff>
        </xdr:from>
        <xdr:to>
          <xdr:col>24</xdr:col>
          <xdr:colOff>19050</xdr:colOff>
          <xdr:row>127</xdr:row>
          <xdr:rowOff>203200</xdr:rowOff>
        </xdr:to>
        <xdr:sp macro="" textlink="">
          <xdr:nvSpPr>
            <xdr:cNvPr id="13466" name="Option Button 154" hidden="1">
              <a:extLst>
                <a:ext uri="{63B3BB69-23CF-44E3-9099-C40C66FF867C}">
                  <a14:compatExt spid="_x0000_s13466"/>
                </a:ext>
                <a:ext uri="{FF2B5EF4-FFF2-40B4-BE49-F238E27FC236}">
                  <a16:creationId xmlns:a16="http://schemas.microsoft.com/office/drawing/2014/main" id="{00000000-0008-0000-07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126</xdr:row>
          <xdr:rowOff>203200</xdr:rowOff>
        </xdr:from>
        <xdr:to>
          <xdr:col>27</xdr:col>
          <xdr:colOff>3362</xdr:colOff>
          <xdr:row>131</xdr:row>
          <xdr:rowOff>19050</xdr:rowOff>
        </xdr:to>
        <xdr:sp macro="" textlink="">
          <xdr:nvSpPr>
            <xdr:cNvPr id="13467" name="Group Box 155" hidden="1">
              <a:extLst>
                <a:ext uri="{63B3BB69-23CF-44E3-9099-C40C66FF867C}">
                  <a14:compatExt spid="_x0000_s13467"/>
                </a:ext>
                <a:ext uri="{FF2B5EF4-FFF2-40B4-BE49-F238E27FC236}">
                  <a16:creationId xmlns:a16="http://schemas.microsoft.com/office/drawing/2014/main" id="{00000000-0008-0000-0700-00009B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8</xdr:col>
      <xdr:colOff>11206</xdr:colOff>
      <xdr:row>47</xdr:row>
      <xdr:rowOff>201705</xdr:rowOff>
    </xdr:from>
    <xdr:ext cx="188119" cy="19056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073088" y="119566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14</xdr:col>
      <xdr:colOff>12296</xdr:colOff>
      <xdr:row>47</xdr:row>
      <xdr:rowOff>200027</xdr:rowOff>
    </xdr:from>
    <xdr:ext cx="188119" cy="19056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3620590" y="11954998"/>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twoCellAnchor>
    <xdr:from>
      <xdr:col>30</xdr:col>
      <xdr:colOff>123325</xdr:colOff>
      <xdr:row>34</xdr:row>
      <xdr:rowOff>11204</xdr:rowOff>
    </xdr:from>
    <xdr:to>
      <xdr:col>45</xdr:col>
      <xdr:colOff>253296</xdr:colOff>
      <xdr:row>35</xdr:row>
      <xdr:rowOff>3359</xdr:rowOff>
    </xdr:to>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7838575" y="76502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34</xdr:row>
      <xdr:rowOff>212911</xdr:rowOff>
    </xdr:from>
    <xdr:ext cx="483072" cy="16940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057400" y="78519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a:off x="2060589" y="779153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060589" y="78910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3343275" y="78625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5400675" y="78625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a:off x="7458075" y="78625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9515475" y="78625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a:off x="3343275" y="73870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a:off x="3343275" y="74910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33</xdr:row>
      <xdr:rowOff>0</xdr:rowOff>
    </xdr:from>
    <xdr:ext cx="277888" cy="169405"/>
    <xdr:sp macro="" textlink="">
      <xdr:nvSpPr>
        <xdr:cNvPr id="117" name="テキスト ボックス 116">
          <a:extLst>
            <a:ext uri="{FF2B5EF4-FFF2-40B4-BE49-F238E27FC236}">
              <a16:creationId xmlns:a16="http://schemas.microsoft.com/office/drawing/2014/main" id="{00000000-0008-0000-0700-000075000000}"/>
            </a:ext>
          </a:extLst>
        </xdr:cNvPr>
        <xdr:cNvSpPr txBox="1"/>
      </xdr:nvSpPr>
      <xdr:spPr>
        <a:xfrm>
          <a:off x="5400675" y="78771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33</xdr:row>
      <xdr:rowOff>0</xdr:rowOff>
    </xdr:from>
    <xdr:ext cx="380480" cy="16940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9515475" y="78771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7838575" y="1163170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2057400" y="1183341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056667"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2056667"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3343275" y="1184399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5400675" y="118439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7458075" y="1184399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9515475" y="1184399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3343275" y="113684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343275" y="1147249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50</xdr:row>
      <xdr:rowOff>0</xdr:rowOff>
    </xdr:from>
    <xdr:ext cx="277888" cy="16940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5400675" y="117633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50</xdr:row>
      <xdr:rowOff>0</xdr:rowOff>
    </xdr:from>
    <xdr:ext cx="380480" cy="16940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9515475" y="117633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7838575" y="15965579"/>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2057400" y="1616728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056667"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2056667"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343275" y="1617786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5400675" y="1617786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7458075" y="1617786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9515475" y="1617786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343275" y="157118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3343275" y="158063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21</xdr:col>
      <xdr:colOff>0</xdr:colOff>
      <xdr:row>69</xdr:row>
      <xdr:rowOff>0</xdr:rowOff>
    </xdr:from>
    <xdr:ext cx="277888" cy="16940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5400675" y="1610677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37</xdr:col>
      <xdr:colOff>0</xdr:colOff>
      <xdr:row>69</xdr:row>
      <xdr:rowOff>0</xdr:rowOff>
    </xdr:from>
    <xdr:ext cx="380480" cy="16940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9515475" y="16106775"/>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190500</xdr:colOff>
          <xdr:row>17</xdr:row>
          <xdr:rowOff>50800</xdr:rowOff>
        </xdr:from>
        <xdr:to>
          <xdr:col>22</xdr:col>
          <xdr:colOff>184150</xdr:colOff>
          <xdr:row>18</xdr:row>
          <xdr:rowOff>190500</xdr:rowOff>
        </xdr:to>
        <xdr:sp macro="" textlink="">
          <xdr:nvSpPr>
            <xdr:cNvPr id="13477" name="Group Box 165" hidden="1">
              <a:extLst>
                <a:ext uri="{63B3BB69-23CF-44E3-9099-C40C66FF867C}">
                  <a14:compatExt spid="_x0000_s13477"/>
                </a:ext>
                <a:ext uri="{FF2B5EF4-FFF2-40B4-BE49-F238E27FC236}">
                  <a16:creationId xmlns:a16="http://schemas.microsoft.com/office/drawing/2014/main" id="{00000000-0008-0000-0700-0000A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17</xdr:row>
          <xdr:rowOff>127000</xdr:rowOff>
        </xdr:from>
        <xdr:to>
          <xdr:col>13</xdr:col>
          <xdr:colOff>3362</xdr:colOff>
          <xdr:row>18</xdr:row>
          <xdr:rowOff>107950</xdr:rowOff>
        </xdr:to>
        <xdr:sp macro="" textlink="">
          <xdr:nvSpPr>
            <xdr:cNvPr id="13478" name="Option Button 166" hidden="1">
              <a:extLst>
                <a:ext uri="{63B3BB69-23CF-44E3-9099-C40C66FF867C}">
                  <a14:compatExt spid="_x0000_s13478"/>
                </a:ext>
                <a:ext uri="{FF2B5EF4-FFF2-40B4-BE49-F238E27FC236}">
                  <a16:creationId xmlns:a16="http://schemas.microsoft.com/office/drawing/2014/main" id="{00000000-0008-0000-07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17</xdr:row>
          <xdr:rowOff>133350</xdr:rowOff>
        </xdr:from>
        <xdr:to>
          <xdr:col>20</xdr:col>
          <xdr:colOff>3361</xdr:colOff>
          <xdr:row>18</xdr:row>
          <xdr:rowOff>107950</xdr:rowOff>
        </xdr:to>
        <xdr:sp macro="" textlink="">
          <xdr:nvSpPr>
            <xdr:cNvPr id="13479" name="Option Button 167" hidden="1">
              <a:extLst>
                <a:ext uri="{63B3BB69-23CF-44E3-9099-C40C66FF867C}">
                  <a14:compatExt spid="_x0000_s13479"/>
                </a:ext>
                <a:ext uri="{FF2B5EF4-FFF2-40B4-BE49-F238E27FC236}">
                  <a16:creationId xmlns:a16="http://schemas.microsoft.com/office/drawing/2014/main" id="{00000000-0008-0000-07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17</xdr:row>
          <xdr:rowOff>38100</xdr:rowOff>
        </xdr:from>
        <xdr:to>
          <xdr:col>45</xdr:col>
          <xdr:colOff>19050</xdr:colOff>
          <xdr:row>18</xdr:row>
          <xdr:rowOff>190500</xdr:rowOff>
        </xdr:to>
        <xdr:sp macro="" textlink="">
          <xdr:nvSpPr>
            <xdr:cNvPr id="13480" name="Group Box 168" hidden="1">
              <a:extLst>
                <a:ext uri="{63B3BB69-23CF-44E3-9099-C40C66FF867C}">
                  <a14:compatExt spid="_x0000_s13480"/>
                </a:ext>
                <a:ext uri="{FF2B5EF4-FFF2-40B4-BE49-F238E27FC236}">
                  <a16:creationId xmlns:a16="http://schemas.microsoft.com/office/drawing/2014/main" id="{00000000-0008-0000-0700-0000A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17</xdr:row>
          <xdr:rowOff>114300</xdr:rowOff>
        </xdr:from>
        <xdr:to>
          <xdr:col>31</xdr:col>
          <xdr:colOff>222250</xdr:colOff>
          <xdr:row>18</xdr:row>
          <xdr:rowOff>95250</xdr:rowOff>
        </xdr:to>
        <xdr:sp macro="" textlink="">
          <xdr:nvSpPr>
            <xdr:cNvPr id="13481" name="Option Button 169" hidden="1">
              <a:extLst>
                <a:ext uri="{63B3BB69-23CF-44E3-9099-C40C66FF867C}">
                  <a14:compatExt spid="_x0000_s13481"/>
                </a:ext>
                <a:ext uri="{FF2B5EF4-FFF2-40B4-BE49-F238E27FC236}">
                  <a16:creationId xmlns:a16="http://schemas.microsoft.com/office/drawing/2014/main" id="{00000000-0008-0000-07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190500</xdr:colOff>
          <xdr:row>17</xdr:row>
          <xdr:rowOff>114300</xdr:rowOff>
        </xdr:from>
        <xdr:to>
          <xdr:col>39</xdr:col>
          <xdr:colOff>3362</xdr:colOff>
          <xdr:row>18</xdr:row>
          <xdr:rowOff>95250</xdr:rowOff>
        </xdr:to>
        <xdr:sp macro="" textlink="">
          <xdr:nvSpPr>
            <xdr:cNvPr id="13482" name="Option Button 170" hidden="1">
              <a:extLst>
                <a:ext uri="{63B3BB69-23CF-44E3-9099-C40C66FF867C}">
                  <a14:compatExt spid="_x0000_s13482"/>
                </a:ext>
                <a:ext uri="{FF2B5EF4-FFF2-40B4-BE49-F238E27FC236}">
                  <a16:creationId xmlns:a16="http://schemas.microsoft.com/office/drawing/2014/main" id="{00000000-0008-0000-07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0</xdr:colOff>
      <xdr:row>117</xdr:row>
      <xdr:rowOff>1678</xdr:rowOff>
    </xdr:from>
    <xdr:ext cx="188119" cy="19056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061882" y="261898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117</xdr:row>
      <xdr:rowOff>0</xdr:rowOff>
    </xdr:from>
    <xdr:ext cx="188119" cy="190565"/>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a:off x="4123765" y="2618814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123</xdr:row>
      <xdr:rowOff>192178</xdr:rowOff>
    </xdr:from>
    <xdr:ext cx="188119" cy="19056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061882" y="2772503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123</xdr:row>
      <xdr:rowOff>190500</xdr:rowOff>
    </xdr:from>
    <xdr:ext cx="188119" cy="190565"/>
    <xdr:sp macro="" textlink="">
      <xdr:nvSpPr>
        <xdr:cNvPr id="146" name="テキスト ボックス 145">
          <a:extLst>
            <a:ext uri="{FF2B5EF4-FFF2-40B4-BE49-F238E27FC236}">
              <a16:creationId xmlns:a16="http://schemas.microsoft.com/office/drawing/2014/main" id="{00000000-0008-0000-0700-000092000000}"/>
            </a:ext>
          </a:extLst>
        </xdr:cNvPr>
        <xdr:cNvSpPr txBox="1"/>
      </xdr:nvSpPr>
      <xdr:spPr>
        <a:xfrm>
          <a:off x="4123765" y="277233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28</xdr:col>
      <xdr:colOff>240195</xdr:colOff>
      <xdr:row>32</xdr:row>
      <xdr:rowOff>207065</xdr:rowOff>
    </xdr:from>
    <xdr:ext cx="277888" cy="16940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7429499" y="7901608"/>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28161</xdr:colOff>
      <xdr:row>33</xdr:row>
      <xdr:rowOff>77856</xdr:rowOff>
    </xdr:from>
    <xdr:ext cx="226591" cy="169405"/>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474226" y="8004313"/>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49</xdr:row>
      <xdr:rowOff>209550</xdr:rowOff>
    </xdr:from>
    <xdr:ext cx="277888" cy="16940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7448550" y="1174432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50</xdr:row>
      <xdr:rowOff>80341</xdr:rowOff>
    </xdr:from>
    <xdr:ext cx="226591" cy="16940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493691" y="11843716"/>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oneCellAnchor>
    <xdr:from>
      <xdr:col>28</xdr:col>
      <xdr:colOff>247650</xdr:colOff>
      <xdr:row>68</xdr:row>
      <xdr:rowOff>219075</xdr:rowOff>
    </xdr:from>
    <xdr:ext cx="277888" cy="169405"/>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a:off x="7448550" y="1609725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番地</a:t>
          </a:r>
        </a:p>
      </xdr:txBody>
    </xdr:sp>
    <xdr:clientData/>
  </xdr:oneCellAnchor>
  <xdr:oneCellAnchor>
    <xdr:from>
      <xdr:col>29</xdr:col>
      <xdr:colOff>35616</xdr:colOff>
      <xdr:row>69</xdr:row>
      <xdr:rowOff>89866</xdr:rowOff>
    </xdr:from>
    <xdr:ext cx="226591" cy="16940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493691" y="16196641"/>
          <a:ext cx="226591"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・号</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215</xdr:row>
      <xdr:rowOff>108895</xdr:rowOff>
    </xdr:from>
    <xdr:to>
      <xdr:col>31</xdr:col>
      <xdr:colOff>165516</xdr:colOff>
      <xdr:row>217</xdr:row>
      <xdr:rowOff>89646</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a:stretch>
          <a:fillRect/>
        </a:stretch>
      </xdr:blipFill>
      <xdr:spPr>
        <a:xfrm>
          <a:off x="4381500" y="40573336"/>
          <a:ext cx="3773810" cy="473810"/>
        </a:xfrm>
        <a:prstGeom prst="rect">
          <a:avLst/>
        </a:prstGeom>
      </xdr:spPr>
    </xdr:pic>
    <xdr:clientData/>
  </xdr:twoCellAnchor>
  <xdr:twoCellAnchor>
    <xdr:from>
      <xdr:col>2</xdr:col>
      <xdr:colOff>0</xdr:colOff>
      <xdr:row>10</xdr:row>
      <xdr:rowOff>0</xdr:rowOff>
    </xdr:from>
    <xdr:to>
      <xdr:col>11</xdr:col>
      <xdr:colOff>144562</xdr:colOff>
      <xdr:row>11</xdr:row>
      <xdr:rowOff>98742</xdr:rowOff>
    </xdr:to>
    <xdr:sp macro="" textlink="">
      <xdr:nvSpPr>
        <xdr:cNvPr id="116" name="角丸四角形 115">
          <a:extLst>
            <a:ext uri="{FF2B5EF4-FFF2-40B4-BE49-F238E27FC236}">
              <a16:creationId xmlns:a16="http://schemas.microsoft.com/office/drawing/2014/main" id="{00000000-0008-0000-0800-000074000000}"/>
            </a:ext>
          </a:extLst>
        </xdr:cNvPr>
        <xdr:cNvSpPr/>
      </xdr:nvSpPr>
      <xdr:spPr>
        <a:xfrm>
          <a:off x="515471" y="2465294"/>
          <a:ext cx="2464179" cy="34527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11</xdr:col>
          <xdr:colOff>184150</xdr:colOff>
          <xdr:row>20</xdr:row>
          <xdr:rowOff>12700</xdr:rowOff>
        </xdr:from>
        <xdr:to>
          <xdr:col>13</xdr:col>
          <xdr:colOff>19050</xdr:colOff>
          <xdr:row>20</xdr:row>
          <xdr:rowOff>228600</xdr:rowOff>
        </xdr:to>
        <xdr:sp macro="" textlink="">
          <xdr:nvSpPr>
            <xdr:cNvPr id="7662" name="Check Box 494" hidden="1">
              <a:extLst>
                <a:ext uri="{63B3BB69-23CF-44E3-9099-C40C66FF867C}">
                  <a14:compatExt spid="_x0000_s7662"/>
                </a:ext>
                <a:ext uri="{FF2B5EF4-FFF2-40B4-BE49-F238E27FC236}">
                  <a16:creationId xmlns:a16="http://schemas.microsoft.com/office/drawing/2014/main" id="{00000000-0008-0000-0800-0000E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21</xdr:row>
          <xdr:rowOff>12700</xdr:rowOff>
        </xdr:from>
        <xdr:to>
          <xdr:col>13</xdr:col>
          <xdr:colOff>19050</xdr:colOff>
          <xdr:row>21</xdr:row>
          <xdr:rowOff>228600</xdr:rowOff>
        </xdr:to>
        <xdr:sp macro="" textlink="">
          <xdr:nvSpPr>
            <xdr:cNvPr id="7663" name="Check Box 495" hidden="1">
              <a:extLst>
                <a:ext uri="{63B3BB69-23CF-44E3-9099-C40C66FF867C}">
                  <a14:compatExt spid="_x0000_s7663"/>
                </a:ext>
                <a:ext uri="{FF2B5EF4-FFF2-40B4-BE49-F238E27FC236}">
                  <a16:creationId xmlns:a16="http://schemas.microsoft.com/office/drawing/2014/main" id="{00000000-0008-0000-0800-0000E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22</xdr:row>
          <xdr:rowOff>12700</xdr:rowOff>
        </xdr:from>
        <xdr:to>
          <xdr:col>13</xdr:col>
          <xdr:colOff>19050</xdr:colOff>
          <xdr:row>22</xdr:row>
          <xdr:rowOff>228600</xdr:rowOff>
        </xdr:to>
        <xdr:sp macro="" textlink="">
          <xdr:nvSpPr>
            <xdr:cNvPr id="7664" name="Check Box 496" hidden="1">
              <a:extLst>
                <a:ext uri="{63B3BB69-23CF-44E3-9099-C40C66FF867C}">
                  <a14:compatExt spid="_x0000_s7664"/>
                </a:ext>
                <a:ext uri="{FF2B5EF4-FFF2-40B4-BE49-F238E27FC236}">
                  <a16:creationId xmlns:a16="http://schemas.microsoft.com/office/drawing/2014/main" id="{00000000-0008-0000-0800-0000F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19</xdr:row>
          <xdr:rowOff>31750</xdr:rowOff>
        </xdr:from>
        <xdr:to>
          <xdr:col>13</xdr:col>
          <xdr:colOff>19050</xdr:colOff>
          <xdr:row>19</xdr:row>
          <xdr:rowOff>241300</xdr:rowOff>
        </xdr:to>
        <xdr:sp macro="" textlink="">
          <xdr:nvSpPr>
            <xdr:cNvPr id="7666" name="Check Box 498" hidden="1">
              <a:extLst>
                <a:ext uri="{63B3BB69-23CF-44E3-9099-C40C66FF867C}">
                  <a14:compatExt spid="_x0000_s7666"/>
                </a:ext>
                <a:ext uri="{FF2B5EF4-FFF2-40B4-BE49-F238E27FC236}">
                  <a16:creationId xmlns:a16="http://schemas.microsoft.com/office/drawing/2014/main" id="{00000000-0008-0000-0800-0000F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12700</xdr:rowOff>
        </xdr:from>
        <xdr:to>
          <xdr:col>11</xdr:col>
          <xdr:colOff>3361</xdr:colOff>
          <xdr:row>17</xdr:row>
          <xdr:rowOff>228600</xdr:rowOff>
        </xdr:to>
        <xdr:sp macro="" textlink="">
          <xdr:nvSpPr>
            <xdr:cNvPr id="7667" name="Check Box 499" hidden="1">
              <a:extLst>
                <a:ext uri="{63B3BB69-23CF-44E3-9099-C40C66FF867C}">
                  <a14:compatExt spid="_x0000_s7667"/>
                </a:ext>
                <a:ext uri="{FF2B5EF4-FFF2-40B4-BE49-F238E27FC236}">
                  <a16:creationId xmlns:a16="http://schemas.microsoft.com/office/drawing/2014/main" id="{00000000-0008-0000-0800-0000F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9104</xdr:colOff>
      <xdr:row>121</xdr:row>
      <xdr:rowOff>114197</xdr:rowOff>
    </xdr:from>
    <xdr:to>
      <xdr:col>11</xdr:col>
      <xdr:colOff>153666</xdr:colOff>
      <xdr:row>122</xdr:row>
      <xdr:rowOff>212941</xdr:rowOff>
    </xdr:to>
    <xdr:sp macro="" textlink="">
      <xdr:nvSpPr>
        <xdr:cNvPr id="138" name="角丸四角形 137">
          <a:extLst>
            <a:ext uri="{FF2B5EF4-FFF2-40B4-BE49-F238E27FC236}">
              <a16:creationId xmlns:a16="http://schemas.microsoft.com/office/drawing/2014/main" id="{00000000-0008-0000-0800-00008A000000}"/>
            </a:ext>
          </a:extLst>
        </xdr:cNvPr>
        <xdr:cNvSpPr/>
      </xdr:nvSpPr>
      <xdr:spPr>
        <a:xfrm>
          <a:off x="524575" y="19590021"/>
          <a:ext cx="2464179" cy="34527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お申し込み端末</a:t>
          </a:r>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28</xdr:row>
          <xdr:rowOff>12700</xdr:rowOff>
        </xdr:from>
        <xdr:to>
          <xdr:col>11</xdr:col>
          <xdr:colOff>19050</xdr:colOff>
          <xdr:row>28</xdr:row>
          <xdr:rowOff>228600</xdr:rowOff>
        </xdr:to>
        <xdr:sp macro="" textlink="">
          <xdr:nvSpPr>
            <xdr:cNvPr id="7690" name="Check Box 522" hidden="1">
              <a:extLst>
                <a:ext uri="{63B3BB69-23CF-44E3-9099-C40C66FF867C}">
                  <a14:compatExt spid="_x0000_s7690"/>
                </a:ext>
                <a:ext uri="{FF2B5EF4-FFF2-40B4-BE49-F238E27FC236}">
                  <a16:creationId xmlns:a16="http://schemas.microsoft.com/office/drawing/2014/main" id="{00000000-0008-0000-0800-00000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19050</xdr:rowOff>
        </xdr:from>
        <xdr:to>
          <xdr:col>11</xdr:col>
          <xdr:colOff>19050</xdr:colOff>
          <xdr:row>29</xdr:row>
          <xdr:rowOff>228600</xdr:rowOff>
        </xdr:to>
        <xdr:sp macro="" textlink="">
          <xdr:nvSpPr>
            <xdr:cNvPr id="7691" name="Check Box 523" hidden="1">
              <a:extLst>
                <a:ext uri="{63B3BB69-23CF-44E3-9099-C40C66FF867C}">
                  <a14:compatExt spid="_x0000_s7691"/>
                </a:ext>
                <a:ext uri="{FF2B5EF4-FFF2-40B4-BE49-F238E27FC236}">
                  <a16:creationId xmlns:a16="http://schemas.microsoft.com/office/drawing/2014/main" id="{00000000-0008-0000-0800-00000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19050</xdr:rowOff>
        </xdr:from>
        <xdr:to>
          <xdr:col>11</xdr:col>
          <xdr:colOff>19050</xdr:colOff>
          <xdr:row>30</xdr:row>
          <xdr:rowOff>228600</xdr:rowOff>
        </xdr:to>
        <xdr:sp macro="" textlink="">
          <xdr:nvSpPr>
            <xdr:cNvPr id="7767" name="Check Box 599" hidden="1">
              <a:extLst>
                <a:ext uri="{63B3BB69-23CF-44E3-9099-C40C66FF867C}">
                  <a14:compatExt spid="_x0000_s7767"/>
                </a:ext>
                <a:ext uri="{FF2B5EF4-FFF2-40B4-BE49-F238E27FC236}">
                  <a16:creationId xmlns:a16="http://schemas.microsoft.com/office/drawing/2014/main" id="{00000000-0008-0000-0800-00005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19050</xdr:rowOff>
        </xdr:from>
        <xdr:to>
          <xdr:col>11</xdr:col>
          <xdr:colOff>19050</xdr:colOff>
          <xdr:row>32</xdr:row>
          <xdr:rowOff>228600</xdr:rowOff>
        </xdr:to>
        <xdr:sp macro="" textlink="">
          <xdr:nvSpPr>
            <xdr:cNvPr id="7768" name="Check Box 600" hidden="1">
              <a:extLst>
                <a:ext uri="{63B3BB69-23CF-44E3-9099-C40C66FF867C}">
                  <a14:compatExt spid="_x0000_s7768"/>
                </a:ext>
                <a:ext uri="{FF2B5EF4-FFF2-40B4-BE49-F238E27FC236}">
                  <a16:creationId xmlns:a16="http://schemas.microsoft.com/office/drawing/2014/main" id="{00000000-0008-0000-0800-00005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19050</xdr:rowOff>
        </xdr:from>
        <xdr:to>
          <xdr:col>11</xdr:col>
          <xdr:colOff>19050</xdr:colOff>
          <xdr:row>33</xdr:row>
          <xdr:rowOff>228600</xdr:rowOff>
        </xdr:to>
        <xdr:sp macro="" textlink="">
          <xdr:nvSpPr>
            <xdr:cNvPr id="7769" name="Check Box 601" hidden="1">
              <a:extLst>
                <a:ext uri="{63B3BB69-23CF-44E3-9099-C40C66FF867C}">
                  <a14:compatExt spid="_x0000_s7769"/>
                </a:ext>
                <a:ext uri="{FF2B5EF4-FFF2-40B4-BE49-F238E27FC236}">
                  <a16:creationId xmlns:a16="http://schemas.microsoft.com/office/drawing/2014/main" id="{00000000-0008-0000-0800-00005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15</xdr:row>
          <xdr:rowOff>133350</xdr:rowOff>
        </xdr:from>
        <xdr:to>
          <xdr:col>11</xdr:col>
          <xdr:colOff>3361</xdr:colOff>
          <xdr:row>16</xdr:row>
          <xdr:rowOff>107950</xdr:rowOff>
        </xdr:to>
        <xdr:sp macro="" textlink="">
          <xdr:nvSpPr>
            <xdr:cNvPr id="8147" name="Check Box 979" hidden="1">
              <a:extLst>
                <a:ext uri="{63B3BB69-23CF-44E3-9099-C40C66FF867C}">
                  <a14:compatExt spid="_x0000_s8147"/>
                </a:ext>
                <a:ext uri="{FF2B5EF4-FFF2-40B4-BE49-F238E27FC236}">
                  <a16:creationId xmlns:a16="http://schemas.microsoft.com/office/drawing/2014/main" id="{00000000-0008-0000-0800-0000D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19050</xdr:rowOff>
        </xdr:from>
        <xdr:to>
          <xdr:col>11</xdr:col>
          <xdr:colOff>19050</xdr:colOff>
          <xdr:row>34</xdr:row>
          <xdr:rowOff>228600</xdr:rowOff>
        </xdr:to>
        <xdr:sp macro="" textlink="">
          <xdr:nvSpPr>
            <xdr:cNvPr id="8178" name="Check Box 1010" hidden="1">
              <a:extLst>
                <a:ext uri="{63B3BB69-23CF-44E3-9099-C40C66FF867C}">
                  <a14:compatExt spid="_x0000_s8178"/>
                </a:ext>
                <a:ext uri="{FF2B5EF4-FFF2-40B4-BE49-F238E27FC236}">
                  <a16:creationId xmlns:a16="http://schemas.microsoft.com/office/drawing/2014/main" id="{00000000-0008-0000-0800-0000F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43</xdr:row>
          <xdr:rowOff>19050</xdr:rowOff>
        </xdr:from>
        <xdr:to>
          <xdr:col>11</xdr:col>
          <xdr:colOff>19050</xdr:colOff>
          <xdr:row>43</xdr:row>
          <xdr:rowOff>228600</xdr:rowOff>
        </xdr:to>
        <xdr:sp macro="" textlink="">
          <xdr:nvSpPr>
            <xdr:cNvPr id="8182" name="Check Box 1014" hidden="1">
              <a:extLst>
                <a:ext uri="{63B3BB69-23CF-44E3-9099-C40C66FF867C}">
                  <a14:compatExt spid="_x0000_s8182"/>
                </a:ext>
                <a:ext uri="{FF2B5EF4-FFF2-40B4-BE49-F238E27FC236}">
                  <a16:creationId xmlns:a16="http://schemas.microsoft.com/office/drawing/2014/main" id="{00000000-0008-0000-0800-0000F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19050</xdr:rowOff>
        </xdr:from>
        <xdr:to>
          <xdr:col>11</xdr:col>
          <xdr:colOff>19050</xdr:colOff>
          <xdr:row>44</xdr:row>
          <xdr:rowOff>228600</xdr:rowOff>
        </xdr:to>
        <xdr:sp macro="" textlink="">
          <xdr:nvSpPr>
            <xdr:cNvPr id="8183" name="Check Box 1015" hidden="1">
              <a:extLst>
                <a:ext uri="{63B3BB69-23CF-44E3-9099-C40C66FF867C}">
                  <a14:compatExt spid="_x0000_s8183"/>
                </a:ext>
                <a:ext uri="{FF2B5EF4-FFF2-40B4-BE49-F238E27FC236}">
                  <a16:creationId xmlns:a16="http://schemas.microsoft.com/office/drawing/2014/main" id="{00000000-0008-0000-0800-0000F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46</xdr:row>
          <xdr:rowOff>19050</xdr:rowOff>
        </xdr:from>
        <xdr:to>
          <xdr:col>11</xdr:col>
          <xdr:colOff>19050</xdr:colOff>
          <xdr:row>46</xdr:row>
          <xdr:rowOff>228600</xdr:rowOff>
        </xdr:to>
        <xdr:sp macro="" textlink="">
          <xdr:nvSpPr>
            <xdr:cNvPr id="8184" name="Check Box 1016" hidden="1">
              <a:extLst>
                <a:ext uri="{63B3BB69-23CF-44E3-9099-C40C66FF867C}">
                  <a14:compatExt spid="_x0000_s8184"/>
                </a:ext>
                <a:ext uri="{FF2B5EF4-FFF2-40B4-BE49-F238E27FC236}">
                  <a16:creationId xmlns:a16="http://schemas.microsoft.com/office/drawing/2014/main" id="{00000000-0008-0000-0800-0000F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49</xdr:row>
          <xdr:rowOff>19050</xdr:rowOff>
        </xdr:from>
        <xdr:to>
          <xdr:col>11</xdr:col>
          <xdr:colOff>19050</xdr:colOff>
          <xdr:row>49</xdr:row>
          <xdr:rowOff>228600</xdr:rowOff>
        </xdr:to>
        <xdr:sp macro="" textlink="">
          <xdr:nvSpPr>
            <xdr:cNvPr id="8185" name="Check Box 1017" hidden="1">
              <a:extLst>
                <a:ext uri="{63B3BB69-23CF-44E3-9099-C40C66FF867C}">
                  <a14:compatExt spid="_x0000_s8185"/>
                </a:ext>
                <a:ext uri="{FF2B5EF4-FFF2-40B4-BE49-F238E27FC236}">
                  <a16:creationId xmlns:a16="http://schemas.microsoft.com/office/drawing/2014/main" id="{00000000-0008-0000-0800-0000F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70</xdr:row>
          <xdr:rowOff>203200</xdr:rowOff>
        </xdr:from>
        <xdr:to>
          <xdr:col>45</xdr:col>
          <xdr:colOff>203200</xdr:colOff>
          <xdr:row>74</xdr:row>
          <xdr:rowOff>69850</xdr:rowOff>
        </xdr:to>
        <xdr:sp macro="" textlink="">
          <xdr:nvSpPr>
            <xdr:cNvPr id="8187" name="Group Box 1019" hidden="1">
              <a:extLst>
                <a:ext uri="{63B3BB69-23CF-44E3-9099-C40C66FF867C}">
                  <a14:compatExt spid="_x0000_s8187"/>
                </a:ext>
                <a:ext uri="{FF2B5EF4-FFF2-40B4-BE49-F238E27FC236}">
                  <a16:creationId xmlns:a16="http://schemas.microsoft.com/office/drawing/2014/main" id="{00000000-0008-0000-0800-0000FB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71</xdr:row>
          <xdr:rowOff>19050</xdr:rowOff>
        </xdr:from>
        <xdr:to>
          <xdr:col>31</xdr:col>
          <xdr:colOff>190500</xdr:colOff>
          <xdr:row>71</xdr:row>
          <xdr:rowOff>228600</xdr:rowOff>
        </xdr:to>
        <xdr:sp macro="" textlink="">
          <xdr:nvSpPr>
            <xdr:cNvPr id="8188" name="Option Button 1020" hidden="1">
              <a:extLst>
                <a:ext uri="{63B3BB69-23CF-44E3-9099-C40C66FF867C}">
                  <a14:compatExt spid="_x0000_s8188"/>
                </a:ext>
                <a:ext uri="{FF2B5EF4-FFF2-40B4-BE49-F238E27FC236}">
                  <a16:creationId xmlns:a16="http://schemas.microsoft.com/office/drawing/2014/main" id="{00000000-0008-0000-0800-0000F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71</xdr:row>
          <xdr:rowOff>19050</xdr:rowOff>
        </xdr:from>
        <xdr:to>
          <xdr:col>36</xdr:col>
          <xdr:colOff>107950</xdr:colOff>
          <xdr:row>71</xdr:row>
          <xdr:rowOff>228600</xdr:rowOff>
        </xdr:to>
        <xdr:sp macro="" textlink="">
          <xdr:nvSpPr>
            <xdr:cNvPr id="8189" name="Option Button 1021" hidden="1">
              <a:extLst>
                <a:ext uri="{63B3BB69-23CF-44E3-9099-C40C66FF867C}">
                  <a14:compatExt spid="_x0000_s8189"/>
                </a:ext>
                <a:ext uri="{FF2B5EF4-FFF2-40B4-BE49-F238E27FC236}">
                  <a16:creationId xmlns:a16="http://schemas.microsoft.com/office/drawing/2014/main" id="{00000000-0008-0000-0800-0000F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71</xdr:row>
          <xdr:rowOff>19050</xdr:rowOff>
        </xdr:from>
        <xdr:to>
          <xdr:col>43</xdr:col>
          <xdr:colOff>76200</xdr:colOff>
          <xdr:row>71</xdr:row>
          <xdr:rowOff>228600</xdr:rowOff>
        </xdr:to>
        <xdr:sp macro="" textlink="">
          <xdr:nvSpPr>
            <xdr:cNvPr id="8190" name="Option Button 1022" hidden="1">
              <a:extLst>
                <a:ext uri="{63B3BB69-23CF-44E3-9099-C40C66FF867C}">
                  <a14:compatExt spid="_x0000_s8190"/>
                </a:ext>
                <a:ext uri="{FF2B5EF4-FFF2-40B4-BE49-F238E27FC236}">
                  <a16:creationId xmlns:a16="http://schemas.microsoft.com/office/drawing/2014/main" id="{00000000-0008-0000-0800-0000F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19050</xdr:rowOff>
        </xdr:from>
        <xdr:to>
          <xdr:col>11</xdr:col>
          <xdr:colOff>19050</xdr:colOff>
          <xdr:row>59</xdr:row>
          <xdr:rowOff>228600</xdr:rowOff>
        </xdr:to>
        <xdr:sp macro="" textlink="">
          <xdr:nvSpPr>
            <xdr:cNvPr id="8191" name="Check Box 1023" hidden="1">
              <a:extLst>
                <a:ext uri="{63B3BB69-23CF-44E3-9099-C40C66FF867C}">
                  <a14:compatExt spid="_x0000_s8191"/>
                </a:ext>
                <a:ext uri="{FF2B5EF4-FFF2-40B4-BE49-F238E27FC236}">
                  <a16:creationId xmlns:a16="http://schemas.microsoft.com/office/drawing/2014/main" id="{00000000-0008-0000-0800-0000F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62</xdr:row>
          <xdr:rowOff>19050</xdr:rowOff>
        </xdr:from>
        <xdr:to>
          <xdr:col>11</xdr:col>
          <xdr:colOff>19050</xdr:colOff>
          <xdr:row>62</xdr:row>
          <xdr:rowOff>228600</xdr:rowOff>
        </xdr:to>
        <xdr:sp macro="" textlink="">
          <xdr:nvSpPr>
            <xdr:cNvPr id="102400" name="Check Box 1024" hidden="1">
              <a:extLst>
                <a:ext uri="{63B3BB69-23CF-44E3-9099-C40C66FF867C}">
                  <a14:compatExt spid="_x0000_s102400"/>
                </a:ext>
                <a:ext uri="{FF2B5EF4-FFF2-40B4-BE49-F238E27FC236}">
                  <a16:creationId xmlns:a16="http://schemas.microsoft.com/office/drawing/2014/main" id="{00000000-0008-0000-0800-00000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64</xdr:row>
          <xdr:rowOff>19050</xdr:rowOff>
        </xdr:from>
        <xdr:to>
          <xdr:col>11</xdr:col>
          <xdr:colOff>19050</xdr:colOff>
          <xdr:row>64</xdr:row>
          <xdr:rowOff>228600</xdr:rowOff>
        </xdr:to>
        <xdr:sp macro="" textlink="">
          <xdr:nvSpPr>
            <xdr:cNvPr id="102401" name="Check Box 1025" hidden="1">
              <a:extLst>
                <a:ext uri="{63B3BB69-23CF-44E3-9099-C40C66FF867C}">
                  <a14:compatExt spid="_x0000_s102401"/>
                </a:ext>
                <a:ext uri="{FF2B5EF4-FFF2-40B4-BE49-F238E27FC236}">
                  <a16:creationId xmlns:a16="http://schemas.microsoft.com/office/drawing/2014/main" id="{00000000-0008-0000-08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70</xdr:row>
          <xdr:rowOff>19050</xdr:rowOff>
        </xdr:from>
        <xdr:to>
          <xdr:col>11</xdr:col>
          <xdr:colOff>19050</xdr:colOff>
          <xdr:row>70</xdr:row>
          <xdr:rowOff>228600</xdr:rowOff>
        </xdr:to>
        <xdr:sp macro="" textlink="">
          <xdr:nvSpPr>
            <xdr:cNvPr id="102403" name="Check Box 1027" hidden="1">
              <a:extLst>
                <a:ext uri="{63B3BB69-23CF-44E3-9099-C40C66FF867C}">
                  <a14:compatExt spid="_x0000_s102403"/>
                </a:ext>
                <a:ext uri="{FF2B5EF4-FFF2-40B4-BE49-F238E27FC236}">
                  <a16:creationId xmlns:a16="http://schemas.microsoft.com/office/drawing/2014/main" id="{00000000-0008-0000-08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19050</xdr:rowOff>
        </xdr:from>
        <xdr:to>
          <xdr:col>11</xdr:col>
          <xdr:colOff>19050</xdr:colOff>
          <xdr:row>74</xdr:row>
          <xdr:rowOff>228600</xdr:rowOff>
        </xdr:to>
        <xdr:sp macro="" textlink="">
          <xdr:nvSpPr>
            <xdr:cNvPr id="102404" name="Check Box 1028" hidden="1">
              <a:extLst>
                <a:ext uri="{63B3BB69-23CF-44E3-9099-C40C66FF867C}">
                  <a14:compatExt spid="_x0000_s102404"/>
                </a:ext>
                <a:ext uri="{FF2B5EF4-FFF2-40B4-BE49-F238E27FC236}">
                  <a16:creationId xmlns:a16="http://schemas.microsoft.com/office/drawing/2014/main" id="{00000000-0008-0000-08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77</xdr:row>
          <xdr:rowOff>19050</xdr:rowOff>
        </xdr:from>
        <xdr:to>
          <xdr:col>11</xdr:col>
          <xdr:colOff>19050</xdr:colOff>
          <xdr:row>77</xdr:row>
          <xdr:rowOff>228600</xdr:rowOff>
        </xdr:to>
        <xdr:sp macro="" textlink="">
          <xdr:nvSpPr>
            <xdr:cNvPr id="102405" name="Check Box 1029" hidden="1">
              <a:extLst>
                <a:ext uri="{63B3BB69-23CF-44E3-9099-C40C66FF867C}">
                  <a14:compatExt spid="_x0000_s102405"/>
                </a:ext>
                <a:ext uri="{FF2B5EF4-FFF2-40B4-BE49-F238E27FC236}">
                  <a16:creationId xmlns:a16="http://schemas.microsoft.com/office/drawing/2014/main" id="{00000000-0008-0000-08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60</xdr:row>
          <xdr:rowOff>241300</xdr:rowOff>
        </xdr:from>
        <xdr:to>
          <xdr:col>23</xdr:col>
          <xdr:colOff>209550</xdr:colOff>
          <xdr:row>62</xdr:row>
          <xdr:rowOff>209550</xdr:rowOff>
        </xdr:to>
        <xdr:sp macro="" textlink="">
          <xdr:nvSpPr>
            <xdr:cNvPr id="102408" name="Group Box 1032" hidden="1">
              <a:extLst>
                <a:ext uri="{63B3BB69-23CF-44E3-9099-C40C66FF867C}">
                  <a14:compatExt spid="_x0000_s102408"/>
                </a:ext>
                <a:ext uri="{FF2B5EF4-FFF2-40B4-BE49-F238E27FC236}">
                  <a16:creationId xmlns:a16="http://schemas.microsoft.com/office/drawing/2014/main" id="{00000000-0008-0000-0800-000008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61</xdr:row>
          <xdr:rowOff>12700</xdr:rowOff>
        </xdr:from>
        <xdr:to>
          <xdr:col>18</xdr:col>
          <xdr:colOff>3362</xdr:colOff>
          <xdr:row>61</xdr:row>
          <xdr:rowOff>209550</xdr:rowOff>
        </xdr:to>
        <xdr:sp macro="" textlink="">
          <xdr:nvSpPr>
            <xdr:cNvPr id="102409" name="Option Button 1033" hidden="1">
              <a:extLst>
                <a:ext uri="{63B3BB69-23CF-44E3-9099-C40C66FF867C}">
                  <a14:compatExt spid="_x0000_s102409"/>
                </a:ext>
                <a:ext uri="{FF2B5EF4-FFF2-40B4-BE49-F238E27FC236}">
                  <a16:creationId xmlns:a16="http://schemas.microsoft.com/office/drawing/2014/main" id="{00000000-0008-0000-08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12700</xdr:rowOff>
        </xdr:from>
        <xdr:to>
          <xdr:col>22</xdr:col>
          <xdr:colOff>152400</xdr:colOff>
          <xdr:row>61</xdr:row>
          <xdr:rowOff>209550</xdr:rowOff>
        </xdr:to>
        <xdr:sp macro="" textlink="">
          <xdr:nvSpPr>
            <xdr:cNvPr id="102410" name="Option Button 1034" hidden="1">
              <a:extLst>
                <a:ext uri="{63B3BB69-23CF-44E3-9099-C40C66FF867C}">
                  <a14:compatExt spid="_x0000_s102410"/>
                </a:ext>
                <a:ext uri="{FF2B5EF4-FFF2-40B4-BE49-F238E27FC236}">
                  <a16:creationId xmlns:a16="http://schemas.microsoft.com/office/drawing/2014/main" id="{00000000-0008-0000-08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64</xdr:row>
          <xdr:rowOff>228600</xdr:rowOff>
        </xdr:from>
        <xdr:to>
          <xdr:col>36</xdr:col>
          <xdr:colOff>0</xdr:colOff>
          <xdr:row>70</xdr:row>
          <xdr:rowOff>12700</xdr:rowOff>
        </xdr:to>
        <xdr:sp macro="" textlink="">
          <xdr:nvSpPr>
            <xdr:cNvPr id="102413" name="Group Box 1037" hidden="1">
              <a:extLst>
                <a:ext uri="{63B3BB69-23CF-44E3-9099-C40C66FF867C}">
                  <a14:compatExt spid="_x0000_s102413"/>
                </a:ext>
                <a:ext uri="{FF2B5EF4-FFF2-40B4-BE49-F238E27FC236}">
                  <a16:creationId xmlns:a16="http://schemas.microsoft.com/office/drawing/2014/main" id="{00000000-0008-0000-0800-00000D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65</xdr:row>
          <xdr:rowOff>19050</xdr:rowOff>
        </xdr:from>
        <xdr:to>
          <xdr:col>32</xdr:col>
          <xdr:colOff>3361</xdr:colOff>
          <xdr:row>65</xdr:row>
          <xdr:rowOff>228600</xdr:rowOff>
        </xdr:to>
        <xdr:sp macro="" textlink="">
          <xdr:nvSpPr>
            <xdr:cNvPr id="102414" name="Option Button 1038" hidden="1">
              <a:extLst>
                <a:ext uri="{63B3BB69-23CF-44E3-9099-C40C66FF867C}">
                  <a14:compatExt spid="_x0000_s102414"/>
                </a:ext>
                <a:ext uri="{FF2B5EF4-FFF2-40B4-BE49-F238E27FC236}">
                  <a16:creationId xmlns:a16="http://schemas.microsoft.com/office/drawing/2014/main" id="{00000000-0008-0000-08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65</xdr:row>
          <xdr:rowOff>19050</xdr:rowOff>
        </xdr:from>
        <xdr:to>
          <xdr:col>35</xdr:col>
          <xdr:colOff>228600</xdr:colOff>
          <xdr:row>65</xdr:row>
          <xdr:rowOff>228600</xdr:rowOff>
        </xdr:to>
        <xdr:sp macro="" textlink="">
          <xdr:nvSpPr>
            <xdr:cNvPr id="102415" name="Option Button 1039" hidden="1">
              <a:extLst>
                <a:ext uri="{63B3BB69-23CF-44E3-9099-C40C66FF867C}">
                  <a14:compatExt spid="_x0000_s102415"/>
                </a:ext>
                <a:ext uri="{FF2B5EF4-FFF2-40B4-BE49-F238E27FC236}">
                  <a16:creationId xmlns:a16="http://schemas.microsoft.com/office/drawing/2014/main" id="{00000000-0008-0000-08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76</xdr:row>
          <xdr:rowOff>0</xdr:rowOff>
        </xdr:from>
        <xdr:to>
          <xdr:col>24</xdr:col>
          <xdr:colOff>3361</xdr:colOff>
          <xdr:row>78</xdr:row>
          <xdr:rowOff>19050</xdr:rowOff>
        </xdr:to>
        <xdr:sp macro="" textlink="">
          <xdr:nvSpPr>
            <xdr:cNvPr id="102416" name="Group Box 1040" hidden="1">
              <a:extLst>
                <a:ext uri="{63B3BB69-23CF-44E3-9099-C40C66FF867C}">
                  <a14:compatExt spid="_x0000_s102416"/>
                </a:ext>
                <a:ext uri="{FF2B5EF4-FFF2-40B4-BE49-F238E27FC236}">
                  <a16:creationId xmlns:a16="http://schemas.microsoft.com/office/drawing/2014/main" id="{00000000-0008-0000-0800-000010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xdr:oneCellAnchor>
    <xdr:from>
      <xdr:col>25</xdr:col>
      <xdr:colOff>100854</xdr:colOff>
      <xdr:row>207</xdr:row>
      <xdr:rowOff>60973</xdr:rowOff>
    </xdr:from>
    <xdr:ext cx="4462623" cy="338811"/>
    <xdr:sp macro="" textlink="" fLocksText="0">
      <xdr:nvSpPr>
        <xdr:cNvPr id="2" name="テキスト ボックス 1">
          <a:extLst>
            <a:ext uri="{FF2B5EF4-FFF2-40B4-BE49-F238E27FC236}">
              <a16:creationId xmlns:a16="http://schemas.microsoft.com/office/drawing/2014/main" id="{00000000-0008-0000-0800-000002000000}"/>
            </a:ext>
          </a:extLst>
        </xdr:cNvPr>
        <xdr:cNvSpPr txBox="1"/>
      </xdr:nvSpPr>
      <xdr:spPr>
        <a:xfrm>
          <a:off x="6544236" y="44055267"/>
          <a:ext cx="4462623" cy="338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en-US" altLang="ja-JP" sz="1600">
              <a:solidFill>
                <a:srgbClr val="FF0000"/>
              </a:solidFill>
              <a:latin typeface="Meiryo UI" panose="020B0604030504040204" pitchFamily="50" charset="-128"/>
              <a:ea typeface="Meiryo UI" panose="020B0604030504040204" pitchFamily="50" charset="-128"/>
            </a:rPr>
            <a:t>sbps-dp-attachments@poc-operation.com</a:t>
          </a:r>
          <a:endParaRPr kumimoji="1" lang="ja-JP" altLang="en-US" sz="1600">
            <a:solidFill>
              <a:srgbClr val="FF0000"/>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14</xdr:col>
          <xdr:colOff>31750</xdr:colOff>
          <xdr:row>80</xdr:row>
          <xdr:rowOff>247650</xdr:rowOff>
        </xdr:from>
        <xdr:to>
          <xdr:col>23</xdr:col>
          <xdr:colOff>228600</xdr:colOff>
          <xdr:row>82</xdr:row>
          <xdr:rowOff>0</xdr:rowOff>
        </xdr:to>
        <xdr:sp macro="" textlink="">
          <xdr:nvSpPr>
            <xdr:cNvPr id="102560" name="Group Box 1184" hidden="1">
              <a:extLst>
                <a:ext uri="{63B3BB69-23CF-44E3-9099-C40C66FF867C}">
                  <a14:compatExt spid="_x0000_s102560"/>
                </a:ext>
                <a:ext uri="{FF2B5EF4-FFF2-40B4-BE49-F238E27FC236}">
                  <a16:creationId xmlns:a16="http://schemas.microsoft.com/office/drawing/2014/main" id="{00000000-0008-0000-0800-0000A0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81</xdr:row>
          <xdr:rowOff>0</xdr:rowOff>
        </xdr:from>
        <xdr:to>
          <xdr:col>18</xdr:col>
          <xdr:colOff>107950</xdr:colOff>
          <xdr:row>81</xdr:row>
          <xdr:rowOff>241300</xdr:rowOff>
        </xdr:to>
        <xdr:sp macro="" textlink="">
          <xdr:nvSpPr>
            <xdr:cNvPr id="102561" name="Option Button 1185" hidden="1">
              <a:extLst>
                <a:ext uri="{63B3BB69-23CF-44E3-9099-C40C66FF867C}">
                  <a14:compatExt spid="_x0000_s102561"/>
                </a:ext>
                <a:ext uri="{FF2B5EF4-FFF2-40B4-BE49-F238E27FC236}">
                  <a16:creationId xmlns:a16="http://schemas.microsoft.com/office/drawing/2014/main" id="{00000000-0008-0000-0800-0000A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81</xdr:row>
          <xdr:rowOff>0</xdr:rowOff>
        </xdr:from>
        <xdr:to>
          <xdr:col>23</xdr:col>
          <xdr:colOff>114300</xdr:colOff>
          <xdr:row>81</xdr:row>
          <xdr:rowOff>241300</xdr:rowOff>
        </xdr:to>
        <xdr:sp macro="" textlink="">
          <xdr:nvSpPr>
            <xdr:cNvPr id="102562" name="Option Button 1186" hidden="1">
              <a:extLst>
                <a:ext uri="{63B3BB69-23CF-44E3-9099-C40C66FF867C}">
                  <a14:compatExt spid="_x0000_s102562"/>
                </a:ext>
                <a:ext uri="{FF2B5EF4-FFF2-40B4-BE49-F238E27FC236}">
                  <a16:creationId xmlns:a16="http://schemas.microsoft.com/office/drawing/2014/main" id="{00000000-0008-0000-0800-0000A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148</xdr:row>
          <xdr:rowOff>31750</xdr:rowOff>
        </xdr:from>
        <xdr:to>
          <xdr:col>45</xdr:col>
          <xdr:colOff>190500</xdr:colOff>
          <xdr:row>150</xdr:row>
          <xdr:rowOff>190500</xdr:rowOff>
        </xdr:to>
        <xdr:sp macro="" textlink="">
          <xdr:nvSpPr>
            <xdr:cNvPr id="102569" name="Group Box 1193" hidden="1">
              <a:extLst>
                <a:ext uri="{63B3BB69-23CF-44E3-9099-C40C66FF867C}">
                  <a14:compatExt spid="_x0000_s102569"/>
                </a:ext>
                <a:ext uri="{FF2B5EF4-FFF2-40B4-BE49-F238E27FC236}">
                  <a16:creationId xmlns:a16="http://schemas.microsoft.com/office/drawing/2014/main" id="{00000000-0008-0000-0800-0000A9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1193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148</xdr:row>
          <xdr:rowOff>69850</xdr:rowOff>
        </xdr:from>
        <xdr:to>
          <xdr:col>12</xdr:col>
          <xdr:colOff>3362</xdr:colOff>
          <xdr:row>150</xdr:row>
          <xdr:rowOff>114300</xdr:rowOff>
        </xdr:to>
        <xdr:sp macro="" textlink="">
          <xdr:nvSpPr>
            <xdr:cNvPr id="102570" name="Option Button 1194" hidden="1">
              <a:extLst>
                <a:ext uri="{63B3BB69-23CF-44E3-9099-C40C66FF867C}">
                  <a14:compatExt spid="_x0000_s102570"/>
                </a:ext>
                <a:ext uri="{FF2B5EF4-FFF2-40B4-BE49-F238E27FC236}">
                  <a16:creationId xmlns:a16="http://schemas.microsoft.com/office/drawing/2014/main" id="{00000000-0008-0000-0800-0000A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69850</xdr:rowOff>
        </xdr:from>
        <xdr:to>
          <xdr:col>24</xdr:col>
          <xdr:colOff>3361</xdr:colOff>
          <xdr:row>150</xdr:row>
          <xdr:rowOff>114300</xdr:rowOff>
        </xdr:to>
        <xdr:sp macro="" textlink="">
          <xdr:nvSpPr>
            <xdr:cNvPr id="102571" name="Option Button 1195" hidden="1">
              <a:extLst>
                <a:ext uri="{63B3BB69-23CF-44E3-9099-C40C66FF867C}">
                  <a14:compatExt spid="_x0000_s102571"/>
                </a:ext>
                <a:ext uri="{FF2B5EF4-FFF2-40B4-BE49-F238E27FC236}">
                  <a16:creationId xmlns:a16="http://schemas.microsoft.com/office/drawing/2014/main" id="{00000000-0008-0000-0800-0000A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165100</xdr:colOff>
          <xdr:row>148</xdr:row>
          <xdr:rowOff>69850</xdr:rowOff>
        </xdr:from>
        <xdr:to>
          <xdr:col>36</xdr:col>
          <xdr:colOff>12700</xdr:colOff>
          <xdr:row>150</xdr:row>
          <xdr:rowOff>114300</xdr:rowOff>
        </xdr:to>
        <xdr:sp macro="" textlink="">
          <xdr:nvSpPr>
            <xdr:cNvPr id="102572" name="Option Button 1196" hidden="1">
              <a:extLst>
                <a:ext uri="{63B3BB69-23CF-44E3-9099-C40C66FF867C}">
                  <a14:compatExt spid="_x0000_s102572"/>
                </a:ext>
                <a:ext uri="{FF2B5EF4-FFF2-40B4-BE49-F238E27FC236}">
                  <a16:creationId xmlns:a16="http://schemas.microsoft.com/office/drawing/2014/main" id="{00000000-0008-0000-0800-0000A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153</xdr:row>
          <xdr:rowOff>0</xdr:rowOff>
        </xdr:from>
        <xdr:to>
          <xdr:col>28</xdr:col>
          <xdr:colOff>3361</xdr:colOff>
          <xdr:row>153</xdr:row>
          <xdr:rowOff>241300</xdr:rowOff>
        </xdr:to>
        <xdr:sp macro="" textlink="">
          <xdr:nvSpPr>
            <xdr:cNvPr id="102582" name="Group Box 1206" hidden="1">
              <a:extLst>
                <a:ext uri="{63B3BB69-23CF-44E3-9099-C40C66FF867C}">
                  <a14:compatExt spid="_x0000_s102582"/>
                </a:ext>
                <a:ext uri="{FF2B5EF4-FFF2-40B4-BE49-F238E27FC236}">
                  <a16:creationId xmlns:a16="http://schemas.microsoft.com/office/drawing/2014/main" id="{00000000-0008-0000-0800-0000B6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153</xdr:row>
          <xdr:rowOff>0</xdr:rowOff>
        </xdr:from>
        <xdr:to>
          <xdr:col>20</xdr:col>
          <xdr:colOff>152400</xdr:colOff>
          <xdr:row>153</xdr:row>
          <xdr:rowOff>241300</xdr:rowOff>
        </xdr:to>
        <xdr:sp macro="" textlink="">
          <xdr:nvSpPr>
            <xdr:cNvPr id="102583" name="Option Button 1207" hidden="1">
              <a:extLst>
                <a:ext uri="{63B3BB69-23CF-44E3-9099-C40C66FF867C}">
                  <a14:compatExt spid="_x0000_s102583"/>
                </a:ext>
                <a:ext uri="{FF2B5EF4-FFF2-40B4-BE49-F238E27FC236}">
                  <a16:creationId xmlns:a16="http://schemas.microsoft.com/office/drawing/2014/main" id="{00000000-0008-0000-0800-0000B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153</xdr:row>
          <xdr:rowOff>0</xdr:rowOff>
        </xdr:from>
        <xdr:to>
          <xdr:col>26</xdr:col>
          <xdr:colOff>146050</xdr:colOff>
          <xdr:row>153</xdr:row>
          <xdr:rowOff>241300</xdr:rowOff>
        </xdr:to>
        <xdr:sp macro="" textlink="">
          <xdr:nvSpPr>
            <xdr:cNvPr id="102584" name="Option Button 1208" hidden="1">
              <a:extLst>
                <a:ext uri="{63B3BB69-23CF-44E3-9099-C40C66FF867C}">
                  <a14:compatExt spid="_x0000_s102584"/>
                </a:ext>
                <a:ext uri="{FF2B5EF4-FFF2-40B4-BE49-F238E27FC236}">
                  <a16:creationId xmlns:a16="http://schemas.microsoft.com/office/drawing/2014/main" id="{00000000-0008-0000-0800-0000B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155</xdr:row>
          <xdr:rowOff>12700</xdr:rowOff>
        </xdr:from>
        <xdr:to>
          <xdr:col>28</xdr:col>
          <xdr:colOff>3361</xdr:colOff>
          <xdr:row>156</xdr:row>
          <xdr:rowOff>0</xdr:rowOff>
        </xdr:to>
        <xdr:sp macro="" textlink="">
          <xdr:nvSpPr>
            <xdr:cNvPr id="102585" name="Group Box 1209" hidden="1">
              <a:extLst>
                <a:ext uri="{63B3BB69-23CF-44E3-9099-C40C66FF867C}">
                  <a14:compatExt spid="_x0000_s102585"/>
                </a:ext>
                <a:ext uri="{FF2B5EF4-FFF2-40B4-BE49-F238E27FC236}">
                  <a16:creationId xmlns:a16="http://schemas.microsoft.com/office/drawing/2014/main" id="{00000000-0008-0000-0800-0000B9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155</xdr:row>
          <xdr:rowOff>12700</xdr:rowOff>
        </xdr:from>
        <xdr:to>
          <xdr:col>20</xdr:col>
          <xdr:colOff>152400</xdr:colOff>
          <xdr:row>156</xdr:row>
          <xdr:rowOff>0</xdr:rowOff>
        </xdr:to>
        <xdr:sp macro="" textlink="">
          <xdr:nvSpPr>
            <xdr:cNvPr id="102586" name="Option Button 1210" hidden="1">
              <a:extLst>
                <a:ext uri="{63B3BB69-23CF-44E3-9099-C40C66FF867C}">
                  <a14:compatExt spid="_x0000_s102586"/>
                </a:ext>
                <a:ext uri="{FF2B5EF4-FFF2-40B4-BE49-F238E27FC236}">
                  <a16:creationId xmlns:a16="http://schemas.microsoft.com/office/drawing/2014/main" id="{00000000-0008-0000-0800-0000B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155</xdr:row>
          <xdr:rowOff>12700</xdr:rowOff>
        </xdr:from>
        <xdr:to>
          <xdr:col>26</xdr:col>
          <xdr:colOff>146050</xdr:colOff>
          <xdr:row>156</xdr:row>
          <xdr:rowOff>0</xdr:rowOff>
        </xdr:to>
        <xdr:sp macro="" textlink="">
          <xdr:nvSpPr>
            <xdr:cNvPr id="102587" name="Option Button 1211" hidden="1">
              <a:extLst>
                <a:ext uri="{63B3BB69-23CF-44E3-9099-C40C66FF867C}">
                  <a14:compatExt spid="_x0000_s102587"/>
                </a:ext>
                <a:ext uri="{FF2B5EF4-FFF2-40B4-BE49-F238E27FC236}">
                  <a16:creationId xmlns:a16="http://schemas.microsoft.com/office/drawing/2014/main" id="{00000000-0008-0000-0800-0000B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155</xdr:row>
          <xdr:rowOff>12700</xdr:rowOff>
        </xdr:from>
        <xdr:to>
          <xdr:col>46</xdr:col>
          <xdr:colOff>3362</xdr:colOff>
          <xdr:row>156</xdr:row>
          <xdr:rowOff>0</xdr:rowOff>
        </xdr:to>
        <xdr:sp macro="" textlink="">
          <xdr:nvSpPr>
            <xdr:cNvPr id="102588" name="Group Box 1212" hidden="1">
              <a:extLst>
                <a:ext uri="{63B3BB69-23CF-44E3-9099-C40C66FF867C}">
                  <a14:compatExt spid="_x0000_s102588"/>
                </a:ext>
                <a:ext uri="{FF2B5EF4-FFF2-40B4-BE49-F238E27FC236}">
                  <a16:creationId xmlns:a16="http://schemas.microsoft.com/office/drawing/2014/main" id="{00000000-0008-0000-0800-0000BC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222250</xdr:colOff>
          <xdr:row>155</xdr:row>
          <xdr:rowOff>12700</xdr:rowOff>
        </xdr:from>
        <xdr:to>
          <xdr:col>38</xdr:col>
          <xdr:colOff>152400</xdr:colOff>
          <xdr:row>156</xdr:row>
          <xdr:rowOff>0</xdr:rowOff>
        </xdr:to>
        <xdr:sp macro="" textlink="">
          <xdr:nvSpPr>
            <xdr:cNvPr id="102589" name="Option Button 1213" hidden="1">
              <a:extLst>
                <a:ext uri="{63B3BB69-23CF-44E3-9099-C40C66FF867C}">
                  <a14:compatExt spid="_x0000_s102589"/>
                </a:ext>
                <a:ext uri="{FF2B5EF4-FFF2-40B4-BE49-F238E27FC236}">
                  <a16:creationId xmlns:a16="http://schemas.microsoft.com/office/drawing/2014/main" id="{00000000-0008-0000-0800-0000B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203200</xdr:colOff>
          <xdr:row>155</xdr:row>
          <xdr:rowOff>12700</xdr:rowOff>
        </xdr:from>
        <xdr:to>
          <xdr:col>44</xdr:col>
          <xdr:colOff>146050</xdr:colOff>
          <xdr:row>156</xdr:row>
          <xdr:rowOff>0</xdr:rowOff>
        </xdr:to>
        <xdr:sp macro="" textlink="">
          <xdr:nvSpPr>
            <xdr:cNvPr id="102590" name="Option Button 1214" hidden="1">
              <a:extLst>
                <a:ext uri="{63B3BB69-23CF-44E3-9099-C40C66FF867C}">
                  <a14:compatExt spid="_x0000_s102590"/>
                </a:ext>
                <a:ext uri="{FF2B5EF4-FFF2-40B4-BE49-F238E27FC236}">
                  <a16:creationId xmlns:a16="http://schemas.microsoft.com/office/drawing/2014/main" id="{00000000-0008-0000-0800-0000B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156</xdr:row>
          <xdr:rowOff>12700</xdr:rowOff>
        </xdr:from>
        <xdr:to>
          <xdr:col>28</xdr:col>
          <xdr:colOff>3361</xdr:colOff>
          <xdr:row>157</xdr:row>
          <xdr:rowOff>0</xdr:rowOff>
        </xdr:to>
        <xdr:sp macro="" textlink="">
          <xdr:nvSpPr>
            <xdr:cNvPr id="102591" name="Group Box 1215" hidden="1">
              <a:extLst>
                <a:ext uri="{63B3BB69-23CF-44E3-9099-C40C66FF867C}">
                  <a14:compatExt spid="_x0000_s102591"/>
                </a:ext>
                <a:ext uri="{FF2B5EF4-FFF2-40B4-BE49-F238E27FC236}">
                  <a16:creationId xmlns:a16="http://schemas.microsoft.com/office/drawing/2014/main" id="{00000000-0008-0000-0800-0000BF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156</xdr:row>
          <xdr:rowOff>12700</xdr:rowOff>
        </xdr:from>
        <xdr:to>
          <xdr:col>20</xdr:col>
          <xdr:colOff>152400</xdr:colOff>
          <xdr:row>157</xdr:row>
          <xdr:rowOff>0</xdr:rowOff>
        </xdr:to>
        <xdr:sp macro="" textlink="">
          <xdr:nvSpPr>
            <xdr:cNvPr id="102592" name="Option Button 1216" hidden="1">
              <a:extLst>
                <a:ext uri="{63B3BB69-23CF-44E3-9099-C40C66FF867C}">
                  <a14:compatExt spid="_x0000_s102592"/>
                </a:ext>
                <a:ext uri="{FF2B5EF4-FFF2-40B4-BE49-F238E27FC236}">
                  <a16:creationId xmlns:a16="http://schemas.microsoft.com/office/drawing/2014/main" id="{00000000-0008-0000-0800-0000C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156</xdr:row>
          <xdr:rowOff>12700</xdr:rowOff>
        </xdr:from>
        <xdr:to>
          <xdr:col>26</xdr:col>
          <xdr:colOff>146050</xdr:colOff>
          <xdr:row>157</xdr:row>
          <xdr:rowOff>0</xdr:rowOff>
        </xdr:to>
        <xdr:sp macro="" textlink="">
          <xdr:nvSpPr>
            <xdr:cNvPr id="102593" name="Option Button 1217" hidden="1">
              <a:extLst>
                <a:ext uri="{63B3BB69-23CF-44E3-9099-C40C66FF867C}">
                  <a14:compatExt spid="_x0000_s102593"/>
                </a:ext>
                <a:ext uri="{FF2B5EF4-FFF2-40B4-BE49-F238E27FC236}">
                  <a16:creationId xmlns:a16="http://schemas.microsoft.com/office/drawing/2014/main" id="{00000000-0008-0000-0800-0000C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158</xdr:row>
          <xdr:rowOff>0</xdr:rowOff>
        </xdr:from>
        <xdr:to>
          <xdr:col>28</xdr:col>
          <xdr:colOff>3361</xdr:colOff>
          <xdr:row>158</xdr:row>
          <xdr:rowOff>241300</xdr:rowOff>
        </xdr:to>
        <xdr:sp macro="" textlink="">
          <xdr:nvSpPr>
            <xdr:cNvPr id="102594" name="Group Box 1218" hidden="1">
              <a:extLst>
                <a:ext uri="{63B3BB69-23CF-44E3-9099-C40C66FF867C}">
                  <a14:compatExt spid="_x0000_s102594"/>
                </a:ext>
                <a:ext uri="{FF2B5EF4-FFF2-40B4-BE49-F238E27FC236}">
                  <a16:creationId xmlns:a16="http://schemas.microsoft.com/office/drawing/2014/main" id="{00000000-0008-0000-0800-0000C2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156</xdr:row>
          <xdr:rowOff>241300</xdr:rowOff>
        </xdr:from>
        <xdr:to>
          <xdr:col>31</xdr:col>
          <xdr:colOff>50800</xdr:colOff>
          <xdr:row>158</xdr:row>
          <xdr:rowOff>0</xdr:rowOff>
        </xdr:to>
        <xdr:sp macro="" textlink="">
          <xdr:nvSpPr>
            <xdr:cNvPr id="102614" name="Group Box 1238" hidden="1">
              <a:extLst>
                <a:ext uri="{63B3BB69-23CF-44E3-9099-C40C66FF867C}">
                  <a14:compatExt spid="_x0000_s102614"/>
                </a:ext>
                <a:ext uri="{FF2B5EF4-FFF2-40B4-BE49-F238E27FC236}">
                  <a16:creationId xmlns:a16="http://schemas.microsoft.com/office/drawing/2014/main" id="{00000000-0008-0000-0800-0000D6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157</xdr:row>
          <xdr:rowOff>0</xdr:rowOff>
        </xdr:from>
        <xdr:to>
          <xdr:col>20</xdr:col>
          <xdr:colOff>146050</xdr:colOff>
          <xdr:row>157</xdr:row>
          <xdr:rowOff>241300</xdr:rowOff>
        </xdr:to>
        <xdr:sp macro="" textlink="">
          <xdr:nvSpPr>
            <xdr:cNvPr id="102615" name="Option Button 1239" hidden="1">
              <a:extLst>
                <a:ext uri="{63B3BB69-23CF-44E3-9099-C40C66FF867C}">
                  <a14:compatExt spid="_x0000_s102615"/>
                </a:ext>
                <a:ext uri="{FF2B5EF4-FFF2-40B4-BE49-F238E27FC236}">
                  <a16:creationId xmlns:a16="http://schemas.microsoft.com/office/drawing/2014/main" id="{00000000-0008-0000-0800-0000D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222250</xdr:colOff>
          <xdr:row>157</xdr:row>
          <xdr:rowOff>0</xdr:rowOff>
        </xdr:from>
        <xdr:to>
          <xdr:col>25</xdr:col>
          <xdr:colOff>152400</xdr:colOff>
          <xdr:row>157</xdr:row>
          <xdr:rowOff>241300</xdr:rowOff>
        </xdr:to>
        <xdr:sp macro="" textlink="">
          <xdr:nvSpPr>
            <xdr:cNvPr id="102616" name="Option Button 1240" hidden="1">
              <a:extLst>
                <a:ext uri="{63B3BB69-23CF-44E3-9099-C40C66FF867C}">
                  <a14:compatExt spid="_x0000_s102616"/>
                </a:ext>
                <a:ext uri="{FF2B5EF4-FFF2-40B4-BE49-F238E27FC236}">
                  <a16:creationId xmlns:a16="http://schemas.microsoft.com/office/drawing/2014/main" id="{00000000-0008-0000-0800-0000D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222250</xdr:colOff>
          <xdr:row>157</xdr:row>
          <xdr:rowOff>0</xdr:rowOff>
        </xdr:from>
        <xdr:to>
          <xdr:col>30</xdr:col>
          <xdr:colOff>152400</xdr:colOff>
          <xdr:row>157</xdr:row>
          <xdr:rowOff>241300</xdr:rowOff>
        </xdr:to>
        <xdr:sp macro="" textlink="">
          <xdr:nvSpPr>
            <xdr:cNvPr id="102617" name="Option Button 1241" hidden="1">
              <a:extLst>
                <a:ext uri="{63B3BB69-23CF-44E3-9099-C40C66FF867C}">
                  <a14:compatExt spid="_x0000_s102617"/>
                </a:ext>
                <a:ext uri="{FF2B5EF4-FFF2-40B4-BE49-F238E27FC236}">
                  <a16:creationId xmlns:a16="http://schemas.microsoft.com/office/drawing/2014/main" id="{00000000-0008-0000-0800-0000D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82</xdr:row>
          <xdr:rowOff>228600</xdr:rowOff>
        </xdr:from>
        <xdr:to>
          <xdr:col>39</xdr:col>
          <xdr:colOff>3362</xdr:colOff>
          <xdr:row>84</xdr:row>
          <xdr:rowOff>38100</xdr:rowOff>
        </xdr:to>
        <xdr:sp macro="" textlink="">
          <xdr:nvSpPr>
            <xdr:cNvPr id="102637" name="Group Box 1261" hidden="1">
              <a:extLst>
                <a:ext uri="{63B3BB69-23CF-44E3-9099-C40C66FF867C}">
                  <a14:compatExt spid="_x0000_s102637"/>
                </a:ext>
                <a:ext uri="{FF2B5EF4-FFF2-40B4-BE49-F238E27FC236}">
                  <a16:creationId xmlns:a16="http://schemas.microsoft.com/office/drawing/2014/main" id="{00000000-0008-0000-0800-0000ED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82</xdr:row>
          <xdr:rowOff>247650</xdr:rowOff>
        </xdr:from>
        <xdr:to>
          <xdr:col>18</xdr:col>
          <xdr:colOff>107950</xdr:colOff>
          <xdr:row>83</xdr:row>
          <xdr:rowOff>241300</xdr:rowOff>
        </xdr:to>
        <xdr:sp macro="" textlink="">
          <xdr:nvSpPr>
            <xdr:cNvPr id="102638" name="Option Button 1262" hidden="1">
              <a:extLst>
                <a:ext uri="{63B3BB69-23CF-44E3-9099-C40C66FF867C}">
                  <a14:compatExt spid="_x0000_s102638"/>
                </a:ext>
                <a:ext uri="{FF2B5EF4-FFF2-40B4-BE49-F238E27FC236}">
                  <a16:creationId xmlns:a16="http://schemas.microsoft.com/office/drawing/2014/main" id="{00000000-0008-0000-0800-0000E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82</xdr:row>
          <xdr:rowOff>247650</xdr:rowOff>
        </xdr:from>
        <xdr:to>
          <xdr:col>23</xdr:col>
          <xdr:colOff>114300</xdr:colOff>
          <xdr:row>83</xdr:row>
          <xdr:rowOff>241300</xdr:rowOff>
        </xdr:to>
        <xdr:sp macro="" textlink="">
          <xdr:nvSpPr>
            <xdr:cNvPr id="102639" name="Option Button 1263" hidden="1">
              <a:extLst>
                <a:ext uri="{63B3BB69-23CF-44E3-9099-C40C66FF867C}">
                  <a14:compatExt spid="_x0000_s102639"/>
                </a:ext>
                <a:ext uri="{FF2B5EF4-FFF2-40B4-BE49-F238E27FC236}">
                  <a16:creationId xmlns:a16="http://schemas.microsoft.com/office/drawing/2014/main" id="{00000000-0008-0000-0800-0000E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209550</xdr:colOff>
          <xdr:row>82</xdr:row>
          <xdr:rowOff>247650</xdr:rowOff>
        </xdr:from>
        <xdr:to>
          <xdr:col>33</xdr:col>
          <xdr:colOff>114300</xdr:colOff>
          <xdr:row>83</xdr:row>
          <xdr:rowOff>241300</xdr:rowOff>
        </xdr:to>
        <xdr:sp macro="" textlink="">
          <xdr:nvSpPr>
            <xdr:cNvPr id="102640" name="Option Button 1264" hidden="1">
              <a:extLst>
                <a:ext uri="{63B3BB69-23CF-44E3-9099-C40C66FF867C}">
                  <a14:compatExt spid="_x0000_s102640"/>
                </a:ext>
                <a:ext uri="{FF2B5EF4-FFF2-40B4-BE49-F238E27FC236}">
                  <a16:creationId xmlns:a16="http://schemas.microsoft.com/office/drawing/2014/main" id="{00000000-0008-0000-0800-0000F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85</xdr:row>
          <xdr:rowOff>228600</xdr:rowOff>
        </xdr:from>
        <xdr:to>
          <xdr:col>23</xdr:col>
          <xdr:colOff>152400</xdr:colOff>
          <xdr:row>88</xdr:row>
          <xdr:rowOff>19050</xdr:rowOff>
        </xdr:to>
        <xdr:sp macro="" textlink="">
          <xdr:nvSpPr>
            <xdr:cNvPr id="102644" name="Group Box 1268" hidden="1">
              <a:extLst>
                <a:ext uri="{63B3BB69-23CF-44E3-9099-C40C66FF867C}">
                  <a14:compatExt spid="_x0000_s102644"/>
                </a:ext>
                <a:ext uri="{FF2B5EF4-FFF2-40B4-BE49-F238E27FC236}">
                  <a16:creationId xmlns:a16="http://schemas.microsoft.com/office/drawing/2014/main" id="{00000000-0008-0000-0800-0000F49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85</xdr:row>
          <xdr:rowOff>247650</xdr:rowOff>
        </xdr:from>
        <xdr:to>
          <xdr:col>18</xdr:col>
          <xdr:colOff>107950</xdr:colOff>
          <xdr:row>86</xdr:row>
          <xdr:rowOff>241300</xdr:rowOff>
        </xdr:to>
        <xdr:sp macro="" textlink="">
          <xdr:nvSpPr>
            <xdr:cNvPr id="102645" name="Option Button 1269" hidden="1">
              <a:extLst>
                <a:ext uri="{63B3BB69-23CF-44E3-9099-C40C66FF867C}">
                  <a14:compatExt spid="_x0000_s102645"/>
                </a:ext>
                <a:ext uri="{FF2B5EF4-FFF2-40B4-BE49-F238E27FC236}">
                  <a16:creationId xmlns:a16="http://schemas.microsoft.com/office/drawing/2014/main" id="{00000000-0008-0000-0800-0000F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85</xdr:row>
          <xdr:rowOff>247650</xdr:rowOff>
        </xdr:from>
        <xdr:to>
          <xdr:col>23</xdr:col>
          <xdr:colOff>114300</xdr:colOff>
          <xdr:row>86</xdr:row>
          <xdr:rowOff>241300</xdr:rowOff>
        </xdr:to>
        <xdr:sp macro="" textlink="">
          <xdr:nvSpPr>
            <xdr:cNvPr id="102646" name="Option Button 1270" hidden="1">
              <a:extLst>
                <a:ext uri="{63B3BB69-23CF-44E3-9099-C40C66FF867C}">
                  <a14:compatExt spid="_x0000_s102646"/>
                </a:ext>
                <a:ext uri="{FF2B5EF4-FFF2-40B4-BE49-F238E27FC236}">
                  <a16:creationId xmlns:a16="http://schemas.microsoft.com/office/drawing/2014/main" id="{00000000-0008-0000-0800-0000F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171</xdr:row>
      <xdr:rowOff>0</xdr:rowOff>
    </xdr:from>
    <xdr:to>
      <xdr:col>11</xdr:col>
      <xdr:colOff>144562</xdr:colOff>
      <xdr:row>172</xdr:row>
      <xdr:rowOff>98743</xdr:rowOff>
    </xdr:to>
    <xdr:sp macro="" textlink="">
      <xdr:nvSpPr>
        <xdr:cNvPr id="72" name="角丸四角形 71">
          <a:extLst>
            <a:ext uri="{FF2B5EF4-FFF2-40B4-BE49-F238E27FC236}">
              <a16:creationId xmlns:a16="http://schemas.microsoft.com/office/drawing/2014/main" id="{00000000-0008-0000-0800-000048000000}"/>
            </a:ext>
          </a:extLst>
        </xdr:cNvPr>
        <xdr:cNvSpPr/>
      </xdr:nvSpPr>
      <xdr:spPr>
        <a:xfrm>
          <a:off x="515471" y="27611294"/>
          <a:ext cx="2464179" cy="34527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8.</a:t>
          </a:r>
          <a:r>
            <a:rPr kumimoji="1" lang="ja-JP" altLang="ja-JP" sz="1400" b="1">
              <a:solidFill>
                <a:schemeClr val="lt1"/>
              </a:solidFill>
              <a:effectLst/>
              <a:latin typeface="+mn-lt"/>
              <a:ea typeface="+mn-ea"/>
              <a:cs typeface="+mn-cs"/>
            </a:rPr>
            <a:t>追加アプリ</a:t>
          </a:r>
          <a:r>
            <a:rPr kumimoji="1" lang="ja-JP" altLang="ja-JP" sz="1400" b="1" baseline="0">
              <a:solidFill>
                <a:schemeClr val="lt1"/>
              </a:solidFill>
              <a:effectLst/>
              <a:latin typeface="+mn-lt"/>
              <a:ea typeface="+mn-ea"/>
              <a:cs typeface="+mn-cs"/>
            </a:rPr>
            <a:t> </a:t>
          </a:r>
          <a:r>
            <a:rPr kumimoji="1" lang="ja-JP" altLang="ja-JP" sz="1400" b="1">
              <a:solidFill>
                <a:schemeClr val="lt1"/>
              </a:solidFill>
              <a:effectLst/>
              <a:latin typeface="+mn-lt"/>
              <a:ea typeface="+mn-ea"/>
              <a:cs typeface="+mn-cs"/>
            </a:rPr>
            <a:t>お申込み</a:t>
          </a:r>
          <a:endParaRPr kumimoji="1" lang="ja-JP" altLang="en-US" sz="1400" b="1">
            <a:solidFill>
              <a:schemeClr val="bg1"/>
            </a:solidFill>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174</xdr:row>
          <xdr:rowOff>0</xdr:rowOff>
        </xdr:from>
        <xdr:to>
          <xdr:col>16</xdr:col>
          <xdr:colOff>3362</xdr:colOff>
          <xdr:row>175</xdr:row>
          <xdr:rowOff>0</xdr:rowOff>
        </xdr:to>
        <xdr:sp macro="" textlink="">
          <xdr:nvSpPr>
            <xdr:cNvPr id="102647" name="Check Box 1271" hidden="1">
              <a:extLst>
                <a:ext uri="{63B3BB69-23CF-44E3-9099-C40C66FF867C}">
                  <a14:compatExt spid="_x0000_s102647"/>
                </a:ext>
                <a:ext uri="{FF2B5EF4-FFF2-40B4-BE49-F238E27FC236}">
                  <a16:creationId xmlns:a16="http://schemas.microsoft.com/office/drawing/2014/main" id="{00000000-0008-0000-0800-0000F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79</xdr:row>
          <xdr:rowOff>19050</xdr:rowOff>
        </xdr:from>
        <xdr:to>
          <xdr:col>11</xdr:col>
          <xdr:colOff>19050</xdr:colOff>
          <xdr:row>79</xdr:row>
          <xdr:rowOff>228600</xdr:rowOff>
        </xdr:to>
        <xdr:sp macro="" textlink="">
          <xdr:nvSpPr>
            <xdr:cNvPr id="102662" name="Check Box 1286" hidden="1">
              <a:extLst>
                <a:ext uri="{63B3BB69-23CF-44E3-9099-C40C66FF867C}">
                  <a14:compatExt spid="_x0000_s102662"/>
                </a:ext>
                <a:ext uri="{FF2B5EF4-FFF2-40B4-BE49-F238E27FC236}">
                  <a16:creationId xmlns:a16="http://schemas.microsoft.com/office/drawing/2014/main" id="{00000000-0008-0000-0800-000006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203200</xdr:colOff>
          <xdr:row>77</xdr:row>
          <xdr:rowOff>209550</xdr:rowOff>
        </xdr:from>
        <xdr:to>
          <xdr:col>46</xdr:col>
          <xdr:colOff>50800</xdr:colOff>
          <xdr:row>79</xdr:row>
          <xdr:rowOff>38100</xdr:rowOff>
        </xdr:to>
        <xdr:sp macro="" textlink="">
          <xdr:nvSpPr>
            <xdr:cNvPr id="102672" name="Group Box 1296" hidden="1">
              <a:extLst>
                <a:ext uri="{63B3BB69-23CF-44E3-9099-C40C66FF867C}">
                  <a14:compatExt spid="_x0000_s102672"/>
                </a:ext>
                <a:ext uri="{FF2B5EF4-FFF2-40B4-BE49-F238E27FC236}">
                  <a16:creationId xmlns:a16="http://schemas.microsoft.com/office/drawing/2014/main" id="{00000000-0008-0000-0800-0000109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78</xdr:row>
          <xdr:rowOff>0</xdr:rowOff>
        </xdr:from>
        <xdr:to>
          <xdr:col>42</xdr:col>
          <xdr:colOff>0</xdr:colOff>
          <xdr:row>78</xdr:row>
          <xdr:rowOff>241300</xdr:rowOff>
        </xdr:to>
        <xdr:sp macro="" textlink="">
          <xdr:nvSpPr>
            <xdr:cNvPr id="102673" name="Option Button 1297" hidden="1">
              <a:extLst>
                <a:ext uri="{63B3BB69-23CF-44E3-9099-C40C66FF867C}">
                  <a14:compatExt spid="_x0000_s102673"/>
                </a:ext>
                <a:ext uri="{FF2B5EF4-FFF2-40B4-BE49-F238E27FC236}">
                  <a16:creationId xmlns:a16="http://schemas.microsoft.com/office/drawing/2014/main" id="{00000000-0008-0000-0800-000011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78</xdr:row>
          <xdr:rowOff>0</xdr:rowOff>
        </xdr:from>
        <xdr:to>
          <xdr:col>46</xdr:col>
          <xdr:colOff>3362</xdr:colOff>
          <xdr:row>78</xdr:row>
          <xdr:rowOff>241300</xdr:rowOff>
        </xdr:to>
        <xdr:sp macro="" textlink="">
          <xdr:nvSpPr>
            <xdr:cNvPr id="102674" name="Option Button 1298" hidden="1">
              <a:extLst>
                <a:ext uri="{63B3BB69-23CF-44E3-9099-C40C66FF867C}">
                  <a14:compatExt spid="_x0000_s102674"/>
                </a:ext>
                <a:ext uri="{FF2B5EF4-FFF2-40B4-BE49-F238E27FC236}">
                  <a16:creationId xmlns:a16="http://schemas.microsoft.com/office/drawing/2014/main" id="{00000000-0008-0000-0800-000012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88</xdr:row>
          <xdr:rowOff>19050</xdr:rowOff>
        </xdr:from>
        <xdr:to>
          <xdr:col>11</xdr:col>
          <xdr:colOff>19050</xdr:colOff>
          <xdr:row>88</xdr:row>
          <xdr:rowOff>228600</xdr:rowOff>
        </xdr:to>
        <xdr:sp macro="" textlink="">
          <xdr:nvSpPr>
            <xdr:cNvPr id="102683" name="Check Box 1307" hidden="1">
              <a:extLst>
                <a:ext uri="{63B3BB69-23CF-44E3-9099-C40C66FF867C}">
                  <a14:compatExt spid="_x0000_s102683"/>
                </a:ext>
                <a:ext uri="{FF2B5EF4-FFF2-40B4-BE49-F238E27FC236}">
                  <a16:creationId xmlns:a16="http://schemas.microsoft.com/office/drawing/2014/main" id="{00000000-0008-0000-0800-00001B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203200</xdr:colOff>
          <xdr:row>158</xdr:row>
          <xdr:rowOff>12700</xdr:rowOff>
        </xdr:from>
        <xdr:to>
          <xdr:col>28</xdr:col>
          <xdr:colOff>38100</xdr:colOff>
          <xdr:row>161</xdr:row>
          <xdr:rowOff>114300</xdr:rowOff>
        </xdr:to>
        <xdr:sp macro="" textlink="">
          <xdr:nvSpPr>
            <xdr:cNvPr id="102686" name="Group Box 1310" hidden="1">
              <a:extLst>
                <a:ext uri="{63B3BB69-23CF-44E3-9099-C40C66FF867C}">
                  <a14:compatExt spid="_x0000_s102686"/>
                </a:ext>
                <a:ext uri="{FF2B5EF4-FFF2-40B4-BE49-F238E27FC236}">
                  <a16:creationId xmlns:a16="http://schemas.microsoft.com/office/drawing/2014/main" id="{00000000-0008-0000-0800-00001E9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158</xdr:row>
          <xdr:rowOff>19050</xdr:rowOff>
        </xdr:from>
        <xdr:to>
          <xdr:col>20</xdr:col>
          <xdr:colOff>114300</xdr:colOff>
          <xdr:row>161</xdr:row>
          <xdr:rowOff>12700</xdr:rowOff>
        </xdr:to>
        <xdr:sp macro="" textlink="">
          <xdr:nvSpPr>
            <xdr:cNvPr id="102687" name="Option Button 1311" hidden="1">
              <a:extLst>
                <a:ext uri="{63B3BB69-23CF-44E3-9099-C40C66FF867C}">
                  <a14:compatExt spid="_x0000_s102687"/>
                </a:ext>
                <a:ext uri="{FF2B5EF4-FFF2-40B4-BE49-F238E27FC236}">
                  <a16:creationId xmlns:a16="http://schemas.microsoft.com/office/drawing/2014/main" id="{00000000-0008-0000-0800-00001F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203200</xdr:colOff>
          <xdr:row>158</xdr:row>
          <xdr:rowOff>19050</xdr:rowOff>
        </xdr:from>
        <xdr:to>
          <xdr:col>26</xdr:col>
          <xdr:colOff>107950</xdr:colOff>
          <xdr:row>161</xdr:row>
          <xdr:rowOff>12700</xdr:rowOff>
        </xdr:to>
        <xdr:sp macro="" textlink="">
          <xdr:nvSpPr>
            <xdr:cNvPr id="102688" name="Option Button 1312" hidden="1">
              <a:extLst>
                <a:ext uri="{63B3BB69-23CF-44E3-9099-C40C66FF867C}">
                  <a14:compatExt spid="_x0000_s102688"/>
                </a:ext>
                <a:ext uri="{FF2B5EF4-FFF2-40B4-BE49-F238E27FC236}">
                  <a16:creationId xmlns:a16="http://schemas.microsoft.com/office/drawing/2014/main" id="{00000000-0008-0000-0800-000020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178</xdr:row>
      <xdr:rowOff>0</xdr:rowOff>
    </xdr:from>
    <xdr:to>
      <xdr:col>11</xdr:col>
      <xdr:colOff>144562</xdr:colOff>
      <xdr:row>179</xdr:row>
      <xdr:rowOff>98744</xdr:rowOff>
    </xdr:to>
    <xdr:sp macro="" textlink="">
      <xdr:nvSpPr>
        <xdr:cNvPr id="3" name="角丸四角形 89">
          <a:extLst>
            <a:ext uri="{FF2B5EF4-FFF2-40B4-BE49-F238E27FC236}">
              <a16:creationId xmlns:a16="http://schemas.microsoft.com/office/drawing/2014/main" id="{7265727A-2BE4-417E-AA62-5ADA30011865}"/>
            </a:ext>
          </a:extLst>
        </xdr:cNvPr>
        <xdr:cNvSpPr/>
      </xdr:nvSpPr>
      <xdr:spPr>
        <a:xfrm>
          <a:off x="515471" y="28597412"/>
          <a:ext cx="2464179" cy="34527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400" b="1">
              <a:solidFill>
                <a:schemeClr val="bg1"/>
              </a:solidFill>
              <a:latin typeface="+mj-ea"/>
              <a:ea typeface="+mj-ea"/>
            </a:rPr>
            <a:t>9.ID</a:t>
          </a:r>
          <a:r>
            <a:rPr kumimoji="1" lang="ja-JP" altLang="en-US" sz="1400" b="1">
              <a:solidFill>
                <a:schemeClr val="bg1"/>
              </a:solidFill>
              <a:latin typeface="+mj-ea"/>
              <a:ea typeface="+mj-ea"/>
            </a:rPr>
            <a:t>登録機能お申し込み</a:t>
          </a:r>
        </a:p>
      </xdr:txBody>
    </xdr:sp>
    <xdr:clientData/>
  </xdr:twoCellAnchor>
  <mc:AlternateContent xmlns:mc="http://schemas.openxmlformats.org/markup-compatibility/2006">
    <mc:Choice xmlns:a14="http://schemas.microsoft.com/office/drawing/2010/main" Requires="a14">
      <xdr:twoCellAnchor editAs="oneCell">
        <xdr:from>
          <xdr:col>10</xdr:col>
          <xdr:colOff>165100</xdr:colOff>
          <xdr:row>181</xdr:row>
          <xdr:rowOff>12700</xdr:rowOff>
        </xdr:from>
        <xdr:to>
          <xdr:col>12</xdr:col>
          <xdr:colOff>69850</xdr:colOff>
          <xdr:row>182</xdr:row>
          <xdr:rowOff>0</xdr:rowOff>
        </xdr:to>
        <xdr:sp macro="" textlink="">
          <xdr:nvSpPr>
            <xdr:cNvPr id="102692" name="Check Box 1316" hidden="1">
              <a:extLst>
                <a:ext uri="{63B3BB69-23CF-44E3-9099-C40C66FF867C}">
                  <a14:compatExt spid="_x0000_s102692"/>
                </a:ext>
                <a:ext uri="{FF2B5EF4-FFF2-40B4-BE49-F238E27FC236}">
                  <a16:creationId xmlns:a16="http://schemas.microsoft.com/office/drawing/2014/main" id="{00000000-0008-0000-0800-000024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188</xdr:row>
          <xdr:rowOff>31750</xdr:rowOff>
        </xdr:from>
        <xdr:to>
          <xdr:col>5</xdr:col>
          <xdr:colOff>114300</xdr:colOff>
          <xdr:row>189</xdr:row>
          <xdr:rowOff>19050</xdr:rowOff>
        </xdr:to>
        <xdr:sp macro="" textlink="">
          <xdr:nvSpPr>
            <xdr:cNvPr id="102693" name="Check Box 1317" hidden="1">
              <a:extLst>
                <a:ext uri="{63B3BB69-23CF-44E3-9099-C40C66FF867C}">
                  <a14:compatExt spid="_x0000_s102693"/>
                </a:ext>
                <a:ext uri="{FF2B5EF4-FFF2-40B4-BE49-F238E27FC236}">
                  <a16:creationId xmlns:a16="http://schemas.microsoft.com/office/drawing/2014/main" id="{00000000-0008-0000-0800-000025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190</xdr:row>
          <xdr:rowOff>38100</xdr:rowOff>
        </xdr:from>
        <xdr:to>
          <xdr:col>5</xdr:col>
          <xdr:colOff>127000</xdr:colOff>
          <xdr:row>191</xdr:row>
          <xdr:rowOff>31750</xdr:rowOff>
        </xdr:to>
        <xdr:sp macro="" textlink="">
          <xdr:nvSpPr>
            <xdr:cNvPr id="102694" name="Check Box 1318" hidden="1">
              <a:extLst>
                <a:ext uri="{63B3BB69-23CF-44E3-9099-C40C66FF867C}">
                  <a14:compatExt spid="_x0000_s102694"/>
                </a:ext>
                <a:ext uri="{FF2B5EF4-FFF2-40B4-BE49-F238E27FC236}">
                  <a16:creationId xmlns:a16="http://schemas.microsoft.com/office/drawing/2014/main" id="{00000000-0008-0000-0800-0000269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17&#26989;&#21209;&#26412;&#37096;\15_&#26989;&#21209;&#20225;&#30011;&#37096;\1_&#21152;&#30431;&#24215;&#26989;&#21209;&#20225;&#30011;&#35506;\02_&#12456;&#12531;&#12488;&#12522;&#12471;&#12540;&#12488;&#38306;&#36899;&#26989;&#21209;\20_&#12467;&#12540;&#12489;&#27770;&#28168;\20250609_&#12522;&#12522;&#12540;&#12473;&#23550;&#24540;(Ver4.30)\02_&#22793;&#26356;&#24460;\chi2SBPS&#12467;&#12540;&#12489;&#27770;&#28168;&#12469;&#12540;&#12499;&#12473;(S!can)&#12456;&#12531;&#12488;&#12522;&#12540;&#12471;&#12540;&#12488;_Ver4.31.xlsx" TargetMode="External"/><Relationship Id="rId1" Type="http://schemas.openxmlformats.org/officeDocument/2006/relationships/externalLinkPath" Target="file:///R:\17&#26989;&#21209;&#26412;&#37096;\15_&#26989;&#21209;&#20225;&#30011;&#37096;\1_&#21152;&#30431;&#24215;&#26989;&#21209;&#20225;&#30011;&#35506;\02_&#12456;&#12531;&#12488;&#12522;&#12471;&#12540;&#12488;&#38306;&#36899;&#26989;&#21209;\20_&#12467;&#12540;&#12489;&#27770;&#28168;\20250609_&#12522;&#12522;&#12540;&#12473;&#23550;&#24540;(Ver4.30)\02_&#22793;&#26356;&#24460;\chi2SBPS&#12467;&#12540;&#12489;&#27770;&#28168;&#12469;&#12540;&#12499;&#12473;(S!can)&#12456;&#12531;&#12488;&#12522;&#12540;&#12471;&#12540;&#12488;_Ver4.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7&#26989;&#21209;&#26412;&#37096;\15_&#26989;&#21209;&#20225;&#30011;&#37096;\1_&#21152;&#30431;&#24215;&#26989;&#21209;&#20225;&#30011;&#35506;\02_&#12456;&#12531;&#12488;&#12522;&#12471;&#12540;&#12488;&#38306;&#36899;&#26989;&#21209;\70_&#33258;&#31038;&#12475;&#12531;&#12479;&#12540;(&#12522;&#12450;&#12523;)\06_PayCAS%20UC&#12450;&#12521;&#12452;&#12450;&#12531;&#12473;\20230414_&#12304;PayCASUC&#12450;&#12521;&#12452;&#12450;&#12531;&#12473;&#12305;&#26356;&#26032;(Ver.1.10)\02_&#22793;&#26356;&#24460;\chi01&#31471;&#26411;&#27770;&#28168;&#12469;&#12540;&#12499;&#12473;(PayCAS%20Mobile%20UC&#12450;&#12521;&#12452;&#12450;&#12531;&#12473;)&#12456;&#12531;&#12488;&#12522;&#12540;&#12471;&#12540;&#12488;Ver1.1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17&#26989;&#21209;&#26412;&#37096;\15_&#26989;&#21209;&#20225;&#30011;&#37096;\1_&#21152;&#30431;&#24215;&#26989;&#21209;&#20225;&#30011;&#35506;\02_&#12456;&#12531;&#12488;&#12522;&#12471;&#12540;&#12488;&#38306;&#36899;&#26989;&#21209;\20_&#12467;&#12540;&#12489;&#27770;&#28168;\20250609_&#12522;&#12522;&#12540;&#12473;&#23550;&#24540;(Ver4.30)\02_&#22793;&#26356;&#24460;\chi1SBPS&#12467;&#12540;&#12489;&#27770;&#28168;&#12469;&#12540;&#12499;&#12473;(S!can)&#12456;&#12531;&#12488;&#12522;&#12540;&#12471;&#12540;&#12488;_Ver4.30.xlsx" TargetMode="External"/><Relationship Id="rId1" Type="http://schemas.openxmlformats.org/officeDocument/2006/relationships/externalLinkPath" Target="file:///R:\17&#26989;&#21209;&#26412;&#37096;\15_&#26989;&#21209;&#20225;&#30011;&#37096;\1_&#21152;&#30431;&#24215;&#26989;&#21209;&#20225;&#30011;&#35506;\02_&#12456;&#12531;&#12488;&#12522;&#12471;&#12540;&#12488;&#38306;&#36899;&#26989;&#21209;\20_&#12467;&#12540;&#12489;&#27770;&#28168;\20250609_&#12522;&#12522;&#12540;&#12473;&#23550;&#24540;(Ver4.30)\02_&#22793;&#26356;&#24460;\chi1SBPS&#12467;&#12540;&#12489;&#27770;&#28168;&#12469;&#12540;&#12499;&#12473;(S!can)&#12456;&#12531;&#12488;&#12522;&#12540;&#12471;&#12540;&#12488;_Ver4.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17&#26989;&#21209;&#26412;&#37096;\15_&#26989;&#21209;&#20225;&#30011;&#37096;\1_&#21152;&#30431;&#24215;&#26989;&#21209;&#20225;&#30011;&#35506;\02_&#12456;&#12531;&#12488;&#12522;&#12471;&#12540;&#12488;&#38306;&#36899;&#26989;&#21209;\62_&#31471;&#26411;ES&#19968;&#20803;&#21270;\20210112_&#20462;&#27491;(Ver.1.12)\chi1SBPS&#31471;&#26411;&#27770;&#28168;&#12469;&#12540;&#12499;&#12473;&#12456;&#12531;&#12488;&#12522;&#12540;&#12471;&#12540;&#12488;%20Ver1.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sers\tmakuuchi\Downloads\&#12304;&#12489;&#12521;&#12501;&#12488;&#12305;&#31471;&#26411;&#27770;&#28168;&#12469;&#12540;&#12499;&#12473;&#12456;&#12531;&#12488;&#12522;&#12540;&#12471;&#12540;&#12488;Ver0.2_mae+ohtsuka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見本】記入シート1"/>
      <sheetName val="【見本】記入シート2"/>
      <sheetName val="サービス申込みに必要な添付書類"/>
      <sheetName val="記入シート1"/>
      <sheetName val="記入シート2"/>
      <sheetName val="【多店舗用】記入シート3"/>
      <sheetName val="【PayPay用】自治体キャンペーンシート"/>
      <sheetName val="料金設定シート"/>
      <sheetName val="参照用シート"/>
      <sheetName val="キックバック先マスタ"/>
      <sheetName val="多店舗記入用"/>
      <sheetName val="WeChat公式アカウント登録準備リスト"/>
      <sheetName val="Ctrip申込書（店舗）"/>
      <sheetName val="Ctrip申込書（クーポン）"/>
      <sheetName val="大衆点評申込書"/>
    </sheetNames>
    <sheetDataSet>
      <sheetData sheetId="0"/>
      <sheetData sheetId="1"/>
      <sheetData sheetId="2"/>
      <sheetData sheetId="3">
        <row r="2">
          <cell r="AZ2" t="str">
            <v>00：選択して下さい</v>
          </cell>
          <cell r="BG2" t="str">
            <v>00</v>
          </cell>
          <cell r="BH2" t="str">
            <v>00</v>
          </cell>
          <cell r="BL2" t="str">
            <v>00：選択して下さい</v>
          </cell>
          <cell r="BO2" t="str">
            <v>00：選択して下さい</v>
          </cell>
        </row>
        <row r="3">
          <cell r="AZ3" t="str">
            <v>01：物品販売</v>
          </cell>
          <cell r="BG3" t="str">
            <v>01</v>
          </cell>
          <cell r="BH3" t="str">
            <v>10</v>
          </cell>
          <cell r="BL3" t="str">
            <v>01：店舗・宅配</v>
          </cell>
          <cell r="BO3" t="str">
            <v>01：北海道</v>
          </cell>
        </row>
        <row r="4">
          <cell r="AZ4" t="str">
            <v>02：デジタルコンテンツ</v>
          </cell>
          <cell r="BG4" t="str">
            <v>02</v>
          </cell>
          <cell r="BH4" t="str">
            <v>20</v>
          </cell>
          <cell r="BL4" t="str">
            <v>02：屋台・機内・社内・移動販売</v>
          </cell>
          <cell r="BO4" t="str">
            <v>02：青森県</v>
          </cell>
        </row>
        <row r="5">
          <cell r="AZ5" t="str">
            <v>03：大規模小売</v>
          </cell>
          <cell r="BG5" t="str">
            <v>03</v>
          </cell>
          <cell r="BH5" t="str">
            <v>30</v>
          </cell>
          <cell r="BL5" t="str">
            <v>03：訪問販売</v>
          </cell>
          <cell r="BO5" t="str">
            <v>03：岩手県</v>
          </cell>
        </row>
        <row r="6">
          <cell r="AZ6" t="str">
            <v>04：宿泊施設</v>
          </cell>
          <cell r="BG6" t="str">
            <v>04</v>
          </cell>
          <cell r="BH6" t="str">
            <v>40</v>
          </cell>
          <cell r="BL6" t="str">
            <v>04：電話勧誘販売</v>
          </cell>
          <cell r="BO6" t="str">
            <v>04：宮城県</v>
          </cell>
        </row>
        <row r="7">
          <cell r="AZ7" t="str">
            <v>05：B2B</v>
          </cell>
          <cell r="BG7" t="str">
            <v>05</v>
          </cell>
          <cell r="BH7" t="str">
            <v>50</v>
          </cell>
          <cell r="BL7" t="str">
            <v>05：連鎖販売</v>
          </cell>
          <cell r="BO7" t="str">
            <v>05：秋田県</v>
          </cell>
        </row>
        <row r="8">
          <cell r="AZ8" t="str">
            <v>06：チケット</v>
          </cell>
          <cell r="BG8" t="str">
            <v>06</v>
          </cell>
          <cell r="BO8" t="str">
            <v>06：山形県</v>
          </cell>
        </row>
        <row r="9">
          <cell r="AZ9" t="str">
            <v>07：交通</v>
          </cell>
          <cell r="BG9" t="str">
            <v>07</v>
          </cell>
          <cell r="BO9" t="str">
            <v>07：福島県</v>
          </cell>
        </row>
        <row r="10">
          <cell r="AZ10" t="str">
            <v>08：タクシー</v>
          </cell>
          <cell r="BG10" t="str">
            <v>08</v>
          </cell>
          <cell r="BO10" t="str">
            <v>08：茨城県</v>
          </cell>
        </row>
        <row r="11">
          <cell r="AZ11" t="str">
            <v>09：旅行</v>
          </cell>
          <cell r="BG11" t="str">
            <v>09</v>
          </cell>
          <cell r="BO11" t="str">
            <v>09：栃木県</v>
          </cell>
        </row>
        <row r="12">
          <cell r="AZ12" t="str">
            <v>10：通信</v>
          </cell>
          <cell r="BG12" t="str">
            <v>10</v>
          </cell>
          <cell r="BO12" t="str">
            <v>10：群馬県</v>
          </cell>
        </row>
        <row r="13">
          <cell r="AZ13" t="str">
            <v>11：保険</v>
          </cell>
          <cell r="BG13" t="str">
            <v>11</v>
          </cell>
          <cell r="BO13" t="str">
            <v>11：埼玉県</v>
          </cell>
        </row>
        <row r="14">
          <cell r="AZ14" t="str">
            <v>12：不動産</v>
          </cell>
          <cell r="BG14" t="str">
            <v>12</v>
          </cell>
          <cell r="BO14" t="str">
            <v>12：千葉県</v>
          </cell>
        </row>
        <row r="15">
          <cell r="AZ15" t="str">
            <v>13：教育</v>
          </cell>
          <cell r="BG15" t="str">
            <v>13</v>
          </cell>
          <cell r="BO15" t="str">
            <v>13：東京都</v>
          </cell>
        </row>
        <row r="16">
          <cell r="AZ16" t="str">
            <v>14：寄付</v>
          </cell>
          <cell r="BG16" t="str">
            <v>14</v>
          </cell>
          <cell r="BO16" t="str">
            <v>14：神奈川県</v>
          </cell>
        </row>
        <row r="17">
          <cell r="AZ17" t="str">
            <v>61：特定継続的役務</v>
          </cell>
          <cell r="BG17" t="str">
            <v>15</v>
          </cell>
          <cell r="BO17" t="str">
            <v>15：新潟県</v>
          </cell>
        </row>
        <row r="18">
          <cell r="AZ18" t="str">
            <v>99：サービス・その他</v>
          </cell>
          <cell r="BG18" t="str">
            <v>16</v>
          </cell>
          <cell r="BO18" t="str">
            <v>16：富山県</v>
          </cell>
        </row>
        <row r="19">
          <cell r="BG19" t="str">
            <v>17</v>
          </cell>
          <cell r="BO19" t="str">
            <v>17：石川県</v>
          </cell>
        </row>
        <row r="20">
          <cell r="BG20" t="str">
            <v>18</v>
          </cell>
          <cell r="BO20" t="str">
            <v>18：福井県</v>
          </cell>
        </row>
        <row r="21">
          <cell r="BG21" t="str">
            <v>19</v>
          </cell>
          <cell r="BO21" t="str">
            <v>19：山梨県</v>
          </cell>
        </row>
        <row r="22">
          <cell r="BG22" t="str">
            <v>20</v>
          </cell>
          <cell r="BO22" t="str">
            <v>20：長野県</v>
          </cell>
        </row>
        <row r="23">
          <cell r="BG23" t="str">
            <v>21</v>
          </cell>
          <cell r="BO23" t="str">
            <v>21：岐阜県</v>
          </cell>
        </row>
        <row r="24">
          <cell r="BG24" t="str">
            <v>22</v>
          </cell>
          <cell r="BO24" t="str">
            <v>22：静岡県</v>
          </cell>
        </row>
        <row r="25">
          <cell r="BG25" t="str">
            <v>23</v>
          </cell>
          <cell r="BO25" t="str">
            <v>23：愛知県</v>
          </cell>
        </row>
        <row r="26">
          <cell r="BO26" t="str">
            <v>24：三重県</v>
          </cell>
        </row>
        <row r="27">
          <cell r="BO27" t="str">
            <v>25：滋賀県</v>
          </cell>
        </row>
        <row r="28">
          <cell r="BO28" t="str">
            <v>26：京都府</v>
          </cell>
        </row>
        <row r="29">
          <cell r="BO29" t="str">
            <v>27：大阪府</v>
          </cell>
        </row>
        <row r="30">
          <cell r="BO30" t="str">
            <v>28：兵庫県</v>
          </cell>
        </row>
        <row r="31">
          <cell r="BO31" t="str">
            <v>29：奈良県</v>
          </cell>
        </row>
        <row r="32">
          <cell r="BO32" t="str">
            <v>30：和歌山県</v>
          </cell>
        </row>
        <row r="33">
          <cell r="BO33" t="str">
            <v>31：鳥取県</v>
          </cell>
        </row>
        <row r="34">
          <cell r="BO34" t="str">
            <v>32：島根県</v>
          </cell>
        </row>
        <row r="35">
          <cell r="BO35" t="str">
            <v>33：岡山県</v>
          </cell>
        </row>
        <row r="36">
          <cell r="BO36" t="str">
            <v>34：広島県</v>
          </cell>
        </row>
        <row r="37">
          <cell r="BO37" t="str">
            <v>35：山口県</v>
          </cell>
        </row>
        <row r="38">
          <cell r="BO38" t="str">
            <v>36：徳島県</v>
          </cell>
        </row>
        <row r="39">
          <cell r="BO39" t="str">
            <v>37：香川県</v>
          </cell>
        </row>
        <row r="40">
          <cell r="BO40" t="str">
            <v>38：愛媛県</v>
          </cell>
        </row>
        <row r="41">
          <cell r="BO41" t="str">
            <v>39：高知県</v>
          </cell>
        </row>
        <row r="42">
          <cell r="BO42" t="str">
            <v>40：福岡県</v>
          </cell>
        </row>
        <row r="43">
          <cell r="BO43" t="str">
            <v>41：佐賀県</v>
          </cell>
        </row>
        <row r="44">
          <cell r="BO44" t="str">
            <v>42：長崎県</v>
          </cell>
        </row>
        <row r="45">
          <cell r="BO45" t="str">
            <v>43：熊本県</v>
          </cell>
        </row>
        <row r="46">
          <cell r="BO46" t="str">
            <v>44：大分県</v>
          </cell>
        </row>
        <row r="47">
          <cell r="BO47" t="str">
            <v>45：宮崎県</v>
          </cell>
        </row>
        <row r="48">
          <cell r="BO48" t="str">
            <v>46：鹿児島県</v>
          </cell>
        </row>
        <row r="49">
          <cell r="BO49" t="str">
            <v>47：沖縄県</v>
          </cell>
        </row>
      </sheetData>
      <sheetData sheetId="4">
        <row r="177">
          <cell r="AX177" t="str">
            <v>00:選択してください</v>
          </cell>
        </row>
        <row r="178">
          <cell r="AX178" t="str">
            <v>01:コンビニエンスストア</v>
          </cell>
        </row>
        <row r="179">
          <cell r="AX179" t="str">
            <v>02:スーパーマーケット・GMS</v>
          </cell>
        </row>
        <row r="180">
          <cell r="AX180" t="str">
            <v>03:生鮮食料品</v>
          </cell>
        </row>
        <row r="181">
          <cell r="AX181" t="str">
            <v>04:薬局・ドラッグストア</v>
          </cell>
        </row>
        <row r="182">
          <cell r="AX182" t="str">
            <v>05:家電・PC・カメラ・モバイル機器</v>
          </cell>
        </row>
        <row r="183">
          <cell r="AX183" t="str">
            <v>06:インテリア・雑貨</v>
          </cell>
        </row>
        <row r="184">
          <cell r="AX184" t="str">
            <v>07:書籍・CD・DVD</v>
          </cell>
        </row>
        <row r="185">
          <cell r="AX185" t="str">
            <v>08:メガネ・コンタクトレンズ</v>
          </cell>
        </row>
        <row r="186">
          <cell r="AX186" t="str">
            <v>09:アパレル</v>
          </cell>
        </row>
        <row r="187">
          <cell r="AX187" t="str">
            <v>10:靴・鞄</v>
          </cell>
        </row>
        <row r="188">
          <cell r="AX188" t="str">
            <v>11:アクセサリー</v>
          </cell>
        </row>
        <row r="189">
          <cell r="AX189" t="str">
            <v>12:化粧品</v>
          </cell>
        </row>
        <row r="190">
          <cell r="AX190" t="str">
            <v>13:チケット</v>
          </cell>
        </row>
        <row r="191">
          <cell r="AX191" t="str">
            <v>14:レストラン・食事処</v>
          </cell>
        </row>
        <row r="192">
          <cell r="AX192" t="str">
            <v>15:その他小売</v>
          </cell>
        </row>
        <row r="193">
          <cell r="AX193" t="str">
            <v>16:居酒屋・バー・パブ</v>
          </cell>
        </row>
        <row r="194">
          <cell r="AX194" t="str">
            <v>17:カフェ・スウィーツ</v>
          </cell>
        </row>
        <row r="195">
          <cell r="AX195" t="str">
            <v>18:その他食品・飲料品</v>
          </cell>
        </row>
        <row r="196">
          <cell r="AX196" t="str">
            <v>19:美容室・理容室</v>
          </cell>
        </row>
        <row r="197">
          <cell r="AX197" t="str">
            <v>20:エステ・マッサージ</v>
          </cell>
        </row>
        <row r="198">
          <cell r="AX198" t="str">
            <v>21:医療機関・治療院</v>
          </cell>
        </row>
        <row r="199">
          <cell r="AX199" t="str">
            <v>22:クリーニング</v>
          </cell>
        </row>
        <row r="200">
          <cell r="AX200" t="str">
            <v>23:アミューズメント施設</v>
          </cell>
        </row>
        <row r="201">
          <cell r="AX201" t="str">
            <v>24:スポーツ施設</v>
          </cell>
        </row>
        <row r="202">
          <cell r="AX202" t="str">
            <v>25:タクシー・交通・運輸</v>
          </cell>
        </row>
        <row r="203">
          <cell r="AX203" t="str">
            <v>26:駐車場</v>
          </cell>
        </row>
        <row r="204">
          <cell r="AX204" t="str">
            <v>27:レンタカー・カーシェアリング</v>
          </cell>
        </row>
        <row r="205">
          <cell r="AX205" t="str">
            <v>28:ホテル・宿泊施設</v>
          </cell>
        </row>
        <row r="206">
          <cell r="AX206" t="str">
            <v>29:学習塾・各種スクール</v>
          </cell>
        </row>
        <row r="207">
          <cell r="AX207" t="str">
            <v>30:ホテル・宿泊施設</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見本】【iD・WAON用記入シート】業種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iD・WAON用記入シート】業種シート"/>
      <sheetName val="料金設定シート"/>
      <sheetName val="参照用シート"/>
      <sheetName val="キックバック先マスタ"/>
      <sheetName val="C&amp;S用KBマスタ(PAX)"/>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G2" t="str">
            <v>00</v>
          </cell>
        </row>
        <row r="3">
          <cell r="BG3" t="str">
            <v>01</v>
          </cell>
        </row>
        <row r="4">
          <cell r="BG4" t="str">
            <v>02</v>
          </cell>
        </row>
        <row r="5">
          <cell r="BG5" t="str">
            <v>03</v>
          </cell>
        </row>
        <row r="6">
          <cell r="BG6" t="str">
            <v>04</v>
          </cell>
        </row>
        <row r="7">
          <cell r="BG7" t="str">
            <v>05</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見本】記入シート1"/>
      <sheetName val="【見本】記入シート2"/>
      <sheetName val="サービス申込みに必要な添付書類"/>
      <sheetName val="記入シート1"/>
      <sheetName val="記入シート2"/>
      <sheetName val="【多店舗用】記入シート3"/>
      <sheetName val="【PayPay用】自治体キャンペーンシート"/>
      <sheetName val="料金設定シート"/>
      <sheetName val="参照用シート"/>
      <sheetName val="キックバック先マスタ"/>
      <sheetName val="多店舗記入用"/>
      <sheetName val="WeChat公式アカウント登録準備リスト"/>
      <sheetName val="Ctrip申込書（店舗）"/>
      <sheetName val="Ctrip申込書（クーポン）"/>
      <sheetName val="大衆点評申込書"/>
    </sheetNames>
    <sheetDataSet>
      <sheetData sheetId="0"/>
      <sheetData sheetId="1"/>
      <sheetData sheetId="2"/>
      <sheetData sheetId="3">
        <row r="2">
          <cell r="AZ2" t="str">
            <v>00：選択して下さい</v>
          </cell>
        </row>
        <row r="3">
          <cell r="AZ3" t="str">
            <v>01：物品販売</v>
          </cell>
        </row>
        <row r="4">
          <cell r="AZ4" t="str">
            <v>02：デジタルコンテンツ</v>
          </cell>
        </row>
        <row r="5">
          <cell r="AZ5" t="str">
            <v>03：大規模小売</v>
          </cell>
        </row>
        <row r="6">
          <cell r="AZ6" t="str">
            <v>04：宿泊施設</v>
          </cell>
        </row>
        <row r="7">
          <cell r="AZ7" t="str">
            <v>05：B2B</v>
          </cell>
        </row>
        <row r="8">
          <cell r="AZ8" t="str">
            <v>06：チケット</v>
          </cell>
        </row>
        <row r="9">
          <cell r="AZ9" t="str">
            <v>07：交通</v>
          </cell>
        </row>
        <row r="10">
          <cell r="AZ10" t="str">
            <v>08：タクシー</v>
          </cell>
        </row>
        <row r="11">
          <cell r="AZ11" t="str">
            <v>09：旅行</v>
          </cell>
        </row>
        <row r="12">
          <cell r="AZ12" t="str">
            <v>10：通信</v>
          </cell>
        </row>
        <row r="13">
          <cell r="AZ13" t="str">
            <v>11：保険</v>
          </cell>
        </row>
        <row r="14">
          <cell r="AZ14" t="str">
            <v>12：不動産</v>
          </cell>
        </row>
        <row r="15">
          <cell r="AZ15" t="str">
            <v>13：教育</v>
          </cell>
        </row>
        <row r="16">
          <cell r="AZ16" t="str">
            <v>14：寄付</v>
          </cell>
        </row>
        <row r="17">
          <cell r="AZ17" t="str">
            <v>61：特定継続的役務</v>
          </cell>
        </row>
        <row r="18">
          <cell r="AZ18" t="str">
            <v>99：サービス・その他</v>
          </cell>
        </row>
      </sheetData>
      <sheetData sheetId="4">
        <row r="177">
          <cell r="AX177" t="str">
            <v>00:選択してください</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本】記入シート1"/>
      <sheetName val="【見本】記入シート2"/>
      <sheetName val="【見本】【JCB用記入シート】業態シート"/>
      <sheetName val="【見本】【楽天Edy用記入シート】業種シート"/>
      <sheetName val="【見本】【楽天Edy用記入シート】チェックシート"/>
      <sheetName val="サービス申込みに必要な添付書類"/>
      <sheetName val="記入シート1"/>
      <sheetName val="記入シート2"/>
      <sheetName val="【JCB用記入シート】業態シート"/>
      <sheetName val="【楽天Edy用記入シート】業種シート"/>
      <sheetName val="【楽天Edy用記入シート】チェックシート"/>
      <sheetName val="スキーム別マスタ"/>
    </sheetNames>
    <sheetDataSet>
      <sheetData sheetId="0"/>
      <sheetData sheetId="1"/>
      <sheetData sheetId="2"/>
      <sheetData sheetId="3"/>
      <sheetData sheetId="4"/>
      <sheetData sheetId="5"/>
      <sheetData sheetId="6">
        <row r="2">
          <cell r="BG2" t="str">
            <v>00</v>
          </cell>
          <cell r="BH2" t="str">
            <v>00</v>
          </cell>
          <cell r="BL2" t="str">
            <v>00：選択して下さい</v>
          </cell>
          <cell r="BM2" t="str">
            <v>00：選択して下さい</v>
          </cell>
          <cell r="BN2" t="str">
            <v>00：選択して下さい</v>
          </cell>
          <cell r="BO2" t="str">
            <v>00：選択して下さい</v>
          </cell>
        </row>
        <row r="3">
          <cell r="BH3" t="str">
            <v>10</v>
          </cell>
          <cell r="BL3" t="str">
            <v>01：店頭販売</v>
          </cell>
          <cell r="BM3" t="str">
            <v>01：保持している［保持］</v>
          </cell>
          <cell r="BN3" t="str">
            <v>01：準拠している</v>
          </cell>
          <cell r="BO3" t="str">
            <v>01：北海道</v>
          </cell>
        </row>
        <row r="4">
          <cell r="BH4" t="str">
            <v>20</v>
          </cell>
          <cell r="BL4" t="str">
            <v>02：催事販売</v>
          </cell>
          <cell r="BM4" t="str">
            <v>02：保持していない［非保持］</v>
          </cell>
          <cell r="BN4" t="str">
            <v>02：準拠予定あり</v>
          </cell>
          <cell r="BO4" t="str">
            <v>02：青森県</v>
          </cell>
        </row>
        <row r="5">
          <cell r="BH5" t="str">
            <v>30</v>
          </cell>
          <cell r="BL5" t="str">
            <v>03：訪問販売</v>
          </cell>
          <cell r="BM5" t="str">
            <v>03：【非保持化】予定あり</v>
          </cell>
          <cell r="BN5" t="str">
            <v>03：準拠予定なし</v>
          </cell>
          <cell r="BO5" t="str">
            <v>03：岩手県</v>
          </cell>
        </row>
        <row r="6">
          <cell r="BH6" t="str">
            <v>40</v>
          </cell>
          <cell r="BL6" t="str">
            <v>04：移動販売（タクシー含）</v>
          </cell>
          <cell r="BO6" t="str">
            <v>04：宮城県</v>
          </cell>
        </row>
        <row r="7">
          <cell r="BH7" t="str">
            <v>50</v>
          </cell>
          <cell r="BL7" t="str">
            <v>05：電話勧誘販売</v>
          </cell>
          <cell r="BO7" t="str">
            <v>05：秋田県</v>
          </cell>
        </row>
        <row r="8">
          <cell r="BL8" t="str">
            <v>06：連鎖販売</v>
          </cell>
          <cell r="BO8" t="str">
            <v>06：山形県</v>
          </cell>
        </row>
        <row r="9">
          <cell r="BL9" t="str">
            <v>07：その他（右欄にテキストでご記入ください）</v>
          </cell>
          <cell r="BO9" t="str">
            <v>07：福島県</v>
          </cell>
        </row>
        <row r="10">
          <cell r="BO10" t="str">
            <v>08：茨城県</v>
          </cell>
        </row>
        <row r="11">
          <cell r="BO11" t="str">
            <v>09：栃木県</v>
          </cell>
        </row>
        <row r="12">
          <cell r="BO12" t="str">
            <v>10：群馬県</v>
          </cell>
        </row>
        <row r="13">
          <cell r="BO13" t="str">
            <v>11：埼玉県</v>
          </cell>
        </row>
        <row r="14">
          <cell r="BO14" t="str">
            <v>12：千葉県</v>
          </cell>
        </row>
        <row r="15">
          <cell r="BO15" t="str">
            <v>13：東京都</v>
          </cell>
        </row>
        <row r="16">
          <cell r="BO16" t="str">
            <v>14：神奈川県</v>
          </cell>
        </row>
        <row r="17">
          <cell r="BO17" t="str">
            <v>15：新潟県</v>
          </cell>
        </row>
        <row r="18">
          <cell r="BO18" t="str">
            <v>16：富山県</v>
          </cell>
        </row>
        <row r="19">
          <cell r="BO19" t="str">
            <v>17：石川県</v>
          </cell>
        </row>
        <row r="20">
          <cell r="BO20" t="str">
            <v>18：福井県</v>
          </cell>
        </row>
        <row r="21">
          <cell r="BO21" t="str">
            <v>19：山梨県</v>
          </cell>
        </row>
        <row r="22">
          <cell r="BO22" t="str">
            <v>20：長野県</v>
          </cell>
        </row>
        <row r="23">
          <cell r="BO23" t="str">
            <v>21：岐阜県</v>
          </cell>
        </row>
        <row r="24">
          <cell r="BO24" t="str">
            <v>22：静岡県</v>
          </cell>
        </row>
        <row r="25">
          <cell r="BO25" t="str">
            <v>23：愛知県</v>
          </cell>
        </row>
        <row r="26">
          <cell r="BO26" t="str">
            <v>24：三重県</v>
          </cell>
        </row>
        <row r="27">
          <cell r="BO27" t="str">
            <v>25：滋賀県</v>
          </cell>
        </row>
        <row r="28">
          <cell r="BO28" t="str">
            <v>26：京都府</v>
          </cell>
        </row>
        <row r="29">
          <cell r="BO29" t="str">
            <v>27：大阪府</v>
          </cell>
        </row>
        <row r="30">
          <cell r="BO30" t="str">
            <v>28：兵庫県</v>
          </cell>
        </row>
        <row r="31">
          <cell r="BO31" t="str">
            <v>29：奈良県</v>
          </cell>
        </row>
        <row r="32">
          <cell r="BO32" t="str">
            <v>30：和歌山県</v>
          </cell>
        </row>
        <row r="33">
          <cell r="BO33" t="str">
            <v>31：鳥取県</v>
          </cell>
        </row>
        <row r="34">
          <cell r="BO34" t="str">
            <v>32：島根県</v>
          </cell>
        </row>
        <row r="35">
          <cell r="BO35" t="str">
            <v>33：岡山県</v>
          </cell>
        </row>
        <row r="36">
          <cell r="BO36" t="str">
            <v>34：広島県</v>
          </cell>
        </row>
        <row r="37">
          <cell r="BO37" t="str">
            <v>35：山口県</v>
          </cell>
        </row>
        <row r="38">
          <cell r="BO38" t="str">
            <v>36：徳島県</v>
          </cell>
        </row>
        <row r="39">
          <cell r="BO39" t="str">
            <v>37：香川県</v>
          </cell>
        </row>
        <row r="40">
          <cell r="BO40" t="str">
            <v>38：愛媛県</v>
          </cell>
        </row>
        <row r="41">
          <cell r="BO41" t="str">
            <v>39：高知県</v>
          </cell>
        </row>
        <row r="42">
          <cell r="BO42" t="str">
            <v>40：福岡県</v>
          </cell>
        </row>
        <row r="43">
          <cell r="BO43" t="str">
            <v>41：佐賀県</v>
          </cell>
        </row>
        <row r="44">
          <cell r="BO44" t="str">
            <v>42：長崎県</v>
          </cell>
        </row>
        <row r="45">
          <cell r="BO45" t="str">
            <v>43：熊本県</v>
          </cell>
        </row>
        <row r="46">
          <cell r="BO46" t="str">
            <v>44：大分県</v>
          </cell>
        </row>
        <row r="47">
          <cell r="BO47" t="str">
            <v>45：宮崎県</v>
          </cell>
        </row>
        <row r="48">
          <cell r="BO48" t="str">
            <v>46：鹿児島県</v>
          </cell>
        </row>
        <row r="49">
          <cell r="BO49" t="str">
            <v>47：沖縄県</v>
          </cell>
        </row>
      </sheetData>
      <sheetData sheetId="7">
        <row r="203">
          <cell r="AX203" t="str">
            <v>00:選択してください</v>
          </cell>
        </row>
        <row r="204">
          <cell r="AX204" t="str">
            <v>01:コンビニエンスストア</v>
          </cell>
        </row>
        <row r="205">
          <cell r="AX205" t="str">
            <v>02:スーパーマーケット・GMS</v>
          </cell>
        </row>
        <row r="206">
          <cell r="AX206" t="str">
            <v>03:生鮮食料品</v>
          </cell>
        </row>
        <row r="207">
          <cell r="AX207" t="str">
            <v>04:薬局・ドラッグストア</v>
          </cell>
        </row>
        <row r="208">
          <cell r="AX208" t="str">
            <v>05:家電・PC・カメラ・モバイル機器</v>
          </cell>
        </row>
        <row r="209">
          <cell r="AX209" t="str">
            <v>06:インテリア・雑貨</v>
          </cell>
        </row>
        <row r="210">
          <cell r="AX210" t="str">
            <v>07:書籍・CD・DVD</v>
          </cell>
        </row>
        <row r="211">
          <cell r="AX211" t="str">
            <v>08:メガネ・コンタクトレンズ</v>
          </cell>
        </row>
        <row r="212">
          <cell r="AX212" t="str">
            <v>09:アパレル</v>
          </cell>
        </row>
        <row r="213">
          <cell r="AX213" t="str">
            <v>10:靴・鞄</v>
          </cell>
        </row>
        <row r="214">
          <cell r="AX214" t="str">
            <v>11:アクセサリー</v>
          </cell>
        </row>
        <row r="215">
          <cell r="AX215" t="str">
            <v>12:化粧品</v>
          </cell>
        </row>
        <row r="216">
          <cell r="AX216" t="str">
            <v>13:チケット</v>
          </cell>
        </row>
        <row r="217">
          <cell r="AX217" t="str">
            <v>14:レストラン・食事処</v>
          </cell>
        </row>
        <row r="218">
          <cell r="AX218" t="str">
            <v>15:その他小売</v>
          </cell>
        </row>
        <row r="219">
          <cell r="AX219" t="str">
            <v>16:居酒屋・バー・パブ</v>
          </cell>
        </row>
        <row r="220">
          <cell r="AX220" t="str">
            <v>17:カフェ・スウィーツ</v>
          </cell>
        </row>
        <row r="221">
          <cell r="AX221" t="str">
            <v>18:その他食品・飲料品</v>
          </cell>
        </row>
        <row r="222">
          <cell r="AX222" t="str">
            <v>19:美容室・理容室</v>
          </cell>
        </row>
        <row r="223">
          <cell r="AX223" t="str">
            <v>20:エステ・マッサージ</v>
          </cell>
        </row>
        <row r="224">
          <cell r="AX224" t="str">
            <v>21:医療機関・治療院</v>
          </cell>
        </row>
        <row r="225">
          <cell r="AX225" t="str">
            <v>22:クリーニング</v>
          </cell>
        </row>
        <row r="226">
          <cell r="AX226" t="str">
            <v>23:アミューズメント施設</v>
          </cell>
        </row>
        <row r="227">
          <cell r="AX227" t="str">
            <v>24:スポーツ施設</v>
          </cell>
        </row>
        <row r="228">
          <cell r="AX228" t="str">
            <v>25:タクシー・交通・運輸</v>
          </cell>
        </row>
        <row r="229">
          <cell r="AX229" t="str">
            <v>26:駐車場</v>
          </cell>
        </row>
        <row r="230">
          <cell r="AX230" t="str">
            <v>27:レンタカー・カーシェアリング</v>
          </cell>
        </row>
        <row r="231">
          <cell r="AX231" t="str">
            <v>28:ホテル・宿泊施設</v>
          </cell>
        </row>
        <row r="232">
          <cell r="AX232" t="str">
            <v>29:学習塾・各種スクール</v>
          </cell>
        </row>
        <row r="233">
          <cell r="AX233" t="str">
            <v>30:ホテル・宿泊施設</v>
          </cell>
        </row>
      </sheetData>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シート1"/>
      <sheetName val="●記入シート2"/>
      <sheetName val="ｸﾚｼﾞｯﾄの設定について"/>
      <sheetName val="シート1【記入見本】"/>
      <sheetName val="シート2 【記入見本】"/>
    </sheetNames>
    <sheetDataSet>
      <sheetData sheetId="0">
        <row r="2">
          <cell r="BG2" t="str">
            <v>00</v>
          </cell>
          <cell r="BH2" t="str">
            <v>00</v>
          </cell>
          <cell r="BL2" t="str">
            <v>00：選択して下さい</v>
          </cell>
        </row>
        <row r="3">
          <cell r="BG3" t="str">
            <v>01</v>
          </cell>
          <cell r="BH3" t="str">
            <v>10</v>
          </cell>
          <cell r="BL3" t="str">
            <v>01：店頭販売</v>
          </cell>
        </row>
        <row r="4">
          <cell r="BG4" t="str">
            <v>02</v>
          </cell>
          <cell r="BH4" t="str">
            <v>20</v>
          </cell>
          <cell r="BL4" t="str">
            <v>02：催事販売</v>
          </cell>
        </row>
        <row r="5">
          <cell r="BG5" t="str">
            <v>03</v>
          </cell>
          <cell r="BH5" t="str">
            <v>30</v>
          </cell>
          <cell r="BL5" t="str">
            <v>03：訪問販売</v>
          </cell>
        </row>
        <row r="6">
          <cell r="BG6" t="str">
            <v>04</v>
          </cell>
          <cell r="BH6" t="str">
            <v>40</v>
          </cell>
          <cell r="BL6" t="str">
            <v>04：移動販売（タクシー含）</v>
          </cell>
        </row>
        <row r="7">
          <cell r="BG7" t="str">
            <v>05</v>
          </cell>
          <cell r="BH7" t="str">
            <v>50</v>
          </cell>
          <cell r="BL7" t="str">
            <v>05：その他（右欄にご記入ください）</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none" lIns="36000" tIns="0" rIns="36000" bIns="0" rtlCol="0" anchor="ctr">
        <a:spAutoFit/>
      </a:bodyPr>
      <a:lstStyle>
        <a:defPPr>
          <a:defRPr kumimoji="1" sz="800">
            <a:solidFill>
              <a:sysClr val="windowText" lastClr="000000"/>
            </a:solidFill>
            <a:latin typeface="Meiryo UI" panose="020B0604030504040204" pitchFamily="50" charset="-128"/>
            <a:ea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omments" Target="../comments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662.xml"/><Relationship Id="rId21" Type="http://schemas.openxmlformats.org/officeDocument/2006/relationships/ctrlProp" Target="../ctrlProps/ctrlProp657.xml"/><Relationship Id="rId42" Type="http://schemas.openxmlformats.org/officeDocument/2006/relationships/ctrlProp" Target="../ctrlProps/ctrlProp678.xml"/><Relationship Id="rId47" Type="http://schemas.openxmlformats.org/officeDocument/2006/relationships/ctrlProp" Target="../ctrlProps/ctrlProp683.xml"/><Relationship Id="rId63" Type="http://schemas.openxmlformats.org/officeDocument/2006/relationships/ctrlProp" Target="../ctrlProps/ctrlProp699.xml"/><Relationship Id="rId68" Type="http://schemas.openxmlformats.org/officeDocument/2006/relationships/ctrlProp" Target="../ctrlProps/ctrlProp704.xml"/><Relationship Id="rId84" Type="http://schemas.openxmlformats.org/officeDocument/2006/relationships/ctrlProp" Target="../ctrlProps/ctrlProp720.xml"/><Relationship Id="rId89" Type="http://schemas.openxmlformats.org/officeDocument/2006/relationships/ctrlProp" Target="../ctrlProps/ctrlProp725.xml"/><Relationship Id="rId16" Type="http://schemas.openxmlformats.org/officeDocument/2006/relationships/ctrlProp" Target="../ctrlProps/ctrlProp652.xml"/><Relationship Id="rId11" Type="http://schemas.openxmlformats.org/officeDocument/2006/relationships/ctrlProp" Target="../ctrlProps/ctrlProp647.xml"/><Relationship Id="rId32" Type="http://schemas.openxmlformats.org/officeDocument/2006/relationships/ctrlProp" Target="../ctrlProps/ctrlProp668.xml"/><Relationship Id="rId37" Type="http://schemas.openxmlformats.org/officeDocument/2006/relationships/ctrlProp" Target="../ctrlProps/ctrlProp673.xml"/><Relationship Id="rId53" Type="http://schemas.openxmlformats.org/officeDocument/2006/relationships/ctrlProp" Target="../ctrlProps/ctrlProp689.xml"/><Relationship Id="rId58" Type="http://schemas.openxmlformats.org/officeDocument/2006/relationships/ctrlProp" Target="../ctrlProps/ctrlProp694.xml"/><Relationship Id="rId74" Type="http://schemas.openxmlformats.org/officeDocument/2006/relationships/ctrlProp" Target="../ctrlProps/ctrlProp710.xml"/><Relationship Id="rId79" Type="http://schemas.openxmlformats.org/officeDocument/2006/relationships/ctrlProp" Target="../ctrlProps/ctrlProp715.xml"/><Relationship Id="rId5" Type="http://schemas.openxmlformats.org/officeDocument/2006/relationships/ctrlProp" Target="../ctrlProps/ctrlProp641.xml"/><Relationship Id="rId90" Type="http://schemas.openxmlformats.org/officeDocument/2006/relationships/ctrlProp" Target="../ctrlProps/ctrlProp726.xml"/><Relationship Id="rId14" Type="http://schemas.openxmlformats.org/officeDocument/2006/relationships/ctrlProp" Target="../ctrlProps/ctrlProp650.xml"/><Relationship Id="rId22" Type="http://schemas.openxmlformats.org/officeDocument/2006/relationships/ctrlProp" Target="../ctrlProps/ctrlProp658.xml"/><Relationship Id="rId27" Type="http://schemas.openxmlformats.org/officeDocument/2006/relationships/ctrlProp" Target="../ctrlProps/ctrlProp663.xml"/><Relationship Id="rId30" Type="http://schemas.openxmlformats.org/officeDocument/2006/relationships/ctrlProp" Target="../ctrlProps/ctrlProp666.xml"/><Relationship Id="rId35" Type="http://schemas.openxmlformats.org/officeDocument/2006/relationships/ctrlProp" Target="../ctrlProps/ctrlProp671.xml"/><Relationship Id="rId43" Type="http://schemas.openxmlformats.org/officeDocument/2006/relationships/ctrlProp" Target="../ctrlProps/ctrlProp679.xml"/><Relationship Id="rId48" Type="http://schemas.openxmlformats.org/officeDocument/2006/relationships/ctrlProp" Target="../ctrlProps/ctrlProp684.xml"/><Relationship Id="rId56" Type="http://schemas.openxmlformats.org/officeDocument/2006/relationships/ctrlProp" Target="../ctrlProps/ctrlProp692.xml"/><Relationship Id="rId64" Type="http://schemas.openxmlformats.org/officeDocument/2006/relationships/ctrlProp" Target="../ctrlProps/ctrlProp700.xml"/><Relationship Id="rId69" Type="http://schemas.openxmlformats.org/officeDocument/2006/relationships/ctrlProp" Target="../ctrlProps/ctrlProp705.xml"/><Relationship Id="rId77" Type="http://schemas.openxmlformats.org/officeDocument/2006/relationships/ctrlProp" Target="../ctrlProps/ctrlProp713.xml"/><Relationship Id="rId8" Type="http://schemas.openxmlformats.org/officeDocument/2006/relationships/ctrlProp" Target="../ctrlProps/ctrlProp644.xml"/><Relationship Id="rId51" Type="http://schemas.openxmlformats.org/officeDocument/2006/relationships/ctrlProp" Target="../ctrlProps/ctrlProp687.xml"/><Relationship Id="rId72" Type="http://schemas.openxmlformats.org/officeDocument/2006/relationships/ctrlProp" Target="../ctrlProps/ctrlProp708.xml"/><Relationship Id="rId80" Type="http://schemas.openxmlformats.org/officeDocument/2006/relationships/ctrlProp" Target="../ctrlProps/ctrlProp716.xml"/><Relationship Id="rId85" Type="http://schemas.openxmlformats.org/officeDocument/2006/relationships/ctrlProp" Target="../ctrlProps/ctrlProp721.xml"/><Relationship Id="rId3" Type="http://schemas.openxmlformats.org/officeDocument/2006/relationships/ctrlProp" Target="../ctrlProps/ctrlProp639.xml"/><Relationship Id="rId12" Type="http://schemas.openxmlformats.org/officeDocument/2006/relationships/ctrlProp" Target="../ctrlProps/ctrlProp648.xml"/><Relationship Id="rId17" Type="http://schemas.openxmlformats.org/officeDocument/2006/relationships/ctrlProp" Target="../ctrlProps/ctrlProp653.xml"/><Relationship Id="rId25" Type="http://schemas.openxmlformats.org/officeDocument/2006/relationships/ctrlProp" Target="../ctrlProps/ctrlProp661.xml"/><Relationship Id="rId33" Type="http://schemas.openxmlformats.org/officeDocument/2006/relationships/ctrlProp" Target="../ctrlProps/ctrlProp669.xml"/><Relationship Id="rId38" Type="http://schemas.openxmlformats.org/officeDocument/2006/relationships/ctrlProp" Target="../ctrlProps/ctrlProp674.xml"/><Relationship Id="rId46" Type="http://schemas.openxmlformats.org/officeDocument/2006/relationships/ctrlProp" Target="../ctrlProps/ctrlProp682.xml"/><Relationship Id="rId59" Type="http://schemas.openxmlformats.org/officeDocument/2006/relationships/ctrlProp" Target="../ctrlProps/ctrlProp695.xml"/><Relationship Id="rId67" Type="http://schemas.openxmlformats.org/officeDocument/2006/relationships/ctrlProp" Target="../ctrlProps/ctrlProp703.xml"/><Relationship Id="rId20" Type="http://schemas.openxmlformats.org/officeDocument/2006/relationships/ctrlProp" Target="../ctrlProps/ctrlProp656.xml"/><Relationship Id="rId41" Type="http://schemas.openxmlformats.org/officeDocument/2006/relationships/ctrlProp" Target="../ctrlProps/ctrlProp677.xml"/><Relationship Id="rId54" Type="http://schemas.openxmlformats.org/officeDocument/2006/relationships/ctrlProp" Target="../ctrlProps/ctrlProp690.xml"/><Relationship Id="rId62" Type="http://schemas.openxmlformats.org/officeDocument/2006/relationships/ctrlProp" Target="../ctrlProps/ctrlProp698.xml"/><Relationship Id="rId70" Type="http://schemas.openxmlformats.org/officeDocument/2006/relationships/ctrlProp" Target="../ctrlProps/ctrlProp706.xml"/><Relationship Id="rId75" Type="http://schemas.openxmlformats.org/officeDocument/2006/relationships/ctrlProp" Target="../ctrlProps/ctrlProp711.xml"/><Relationship Id="rId83" Type="http://schemas.openxmlformats.org/officeDocument/2006/relationships/ctrlProp" Target="../ctrlProps/ctrlProp719.xml"/><Relationship Id="rId88" Type="http://schemas.openxmlformats.org/officeDocument/2006/relationships/ctrlProp" Target="../ctrlProps/ctrlProp724.xml"/><Relationship Id="rId91" Type="http://schemas.openxmlformats.org/officeDocument/2006/relationships/ctrlProp" Target="../ctrlProps/ctrlProp727.xml"/><Relationship Id="rId1" Type="http://schemas.openxmlformats.org/officeDocument/2006/relationships/drawing" Target="../drawings/drawing10.xml"/><Relationship Id="rId6" Type="http://schemas.openxmlformats.org/officeDocument/2006/relationships/ctrlProp" Target="../ctrlProps/ctrlProp642.xml"/><Relationship Id="rId15" Type="http://schemas.openxmlformats.org/officeDocument/2006/relationships/ctrlProp" Target="../ctrlProps/ctrlProp651.xml"/><Relationship Id="rId23" Type="http://schemas.openxmlformats.org/officeDocument/2006/relationships/ctrlProp" Target="../ctrlProps/ctrlProp659.xml"/><Relationship Id="rId28" Type="http://schemas.openxmlformats.org/officeDocument/2006/relationships/ctrlProp" Target="../ctrlProps/ctrlProp664.xml"/><Relationship Id="rId36" Type="http://schemas.openxmlformats.org/officeDocument/2006/relationships/ctrlProp" Target="../ctrlProps/ctrlProp672.xml"/><Relationship Id="rId49" Type="http://schemas.openxmlformats.org/officeDocument/2006/relationships/ctrlProp" Target="../ctrlProps/ctrlProp685.xml"/><Relationship Id="rId57" Type="http://schemas.openxmlformats.org/officeDocument/2006/relationships/ctrlProp" Target="../ctrlProps/ctrlProp693.xml"/><Relationship Id="rId10" Type="http://schemas.openxmlformats.org/officeDocument/2006/relationships/ctrlProp" Target="../ctrlProps/ctrlProp646.xml"/><Relationship Id="rId31" Type="http://schemas.openxmlformats.org/officeDocument/2006/relationships/ctrlProp" Target="../ctrlProps/ctrlProp667.xml"/><Relationship Id="rId44" Type="http://schemas.openxmlformats.org/officeDocument/2006/relationships/ctrlProp" Target="../ctrlProps/ctrlProp680.xml"/><Relationship Id="rId52" Type="http://schemas.openxmlformats.org/officeDocument/2006/relationships/ctrlProp" Target="../ctrlProps/ctrlProp688.xml"/><Relationship Id="rId60" Type="http://schemas.openxmlformats.org/officeDocument/2006/relationships/ctrlProp" Target="../ctrlProps/ctrlProp696.xml"/><Relationship Id="rId65" Type="http://schemas.openxmlformats.org/officeDocument/2006/relationships/ctrlProp" Target="../ctrlProps/ctrlProp701.xml"/><Relationship Id="rId73" Type="http://schemas.openxmlformats.org/officeDocument/2006/relationships/ctrlProp" Target="../ctrlProps/ctrlProp709.xml"/><Relationship Id="rId78" Type="http://schemas.openxmlformats.org/officeDocument/2006/relationships/ctrlProp" Target="../ctrlProps/ctrlProp714.xml"/><Relationship Id="rId81" Type="http://schemas.openxmlformats.org/officeDocument/2006/relationships/ctrlProp" Target="../ctrlProps/ctrlProp717.xml"/><Relationship Id="rId86" Type="http://schemas.openxmlformats.org/officeDocument/2006/relationships/ctrlProp" Target="../ctrlProps/ctrlProp722.xml"/><Relationship Id="rId4" Type="http://schemas.openxmlformats.org/officeDocument/2006/relationships/ctrlProp" Target="../ctrlProps/ctrlProp640.xml"/><Relationship Id="rId9" Type="http://schemas.openxmlformats.org/officeDocument/2006/relationships/ctrlProp" Target="../ctrlProps/ctrlProp645.xml"/><Relationship Id="rId13" Type="http://schemas.openxmlformats.org/officeDocument/2006/relationships/ctrlProp" Target="../ctrlProps/ctrlProp649.xml"/><Relationship Id="rId18" Type="http://schemas.openxmlformats.org/officeDocument/2006/relationships/ctrlProp" Target="../ctrlProps/ctrlProp654.xml"/><Relationship Id="rId39" Type="http://schemas.openxmlformats.org/officeDocument/2006/relationships/ctrlProp" Target="../ctrlProps/ctrlProp675.xml"/><Relationship Id="rId34" Type="http://schemas.openxmlformats.org/officeDocument/2006/relationships/ctrlProp" Target="../ctrlProps/ctrlProp670.xml"/><Relationship Id="rId50" Type="http://schemas.openxmlformats.org/officeDocument/2006/relationships/ctrlProp" Target="../ctrlProps/ctrlProp686.xml"/><Relationship Id="rId55" Type="http://schemas.openxmlformats.org/officeDocument/2006/relationships/ctrlProp" Target="../ctrlProps/ctrlProp691.xml"/><Relationship Id="rId76" Type="http://schemas.openxmlformats.org/officeDocument/2006/relationships/ctrlProp" Target="../ctrlProps/ctrlProp712.xml"/><Relationship Id="rId7" Type="http://schemas.openxmlformats.org/officeDocument/2006/relationships/ctrlProp" Target="../ctrlProps/ctrlProp643.xml"/><Relationship Id="rId71" Type="http://schemas.openxmlformats.org/officeDocument/2006/relationships/ctrlProp" Target="../ctrlProps/ctrlProp707.xml"/><Relationship Id="rId92" Type="http://schemas.openxmlformats.org/officeDocument/2006/relationships/ctrlProp" Target="../ctrlProps/ctrlProp728.xml"/><Relationship Id="rId2" Type="http://schemas.openxmlformats.org/officeDocument/2006/relationships/vmlDrawing" Target="../drawings/vmlDrawing9.vml"/><Relationship Id="rId29" Type="http://schemas.openxmlformats.org/officeDocument/2006/relationships/ctrlProp" Target="../ctrlProps/ctrlProp665.xml"/><Relationship Id="rId24" Type="http://schemas.openxmlformats.org/officeDocument/2006/relationships/ctrlProp" Target="../ctrlProps/ctrlProp660.xml"/><Relationship Id="rId40" Type="http://schemas.openxmlformats.org/officeDocument/2006/relationships/ctrlProp" Target="../ctrlProps/ctrlProp676.xml"/><Relationship Id="rId45" Type="http://schemas.openxmlformats.org/officeDocument/2006/relationships/ctrlProp" Target="../ctrlProps/ctrlProp681.xml"/><Relationship Id="rId66" Type="http://schemas.openxmlformats.org/officeDocument/2006/relationships/ctrlProp" Target="../ctrlProps/ctrlProp702.xml"/><Relationship Id="rId87" Type="http://schemas.openxmlformats.org/officeDocument/2006/relationships/ctrlProp" Target="../ctrlProps/ctrlProp723.xml"/><Relationship Id="rId61" Type="http://schemas.openxmlformats.org/officeDocument/2006/relationships/ctrlProp" Target="../ctrlProps/ctrlProp697.xml"/><Relationship Id="rId82" Type="http://schemas.openxmlformats.org/officeDocument/2006/relationships/ctrlProp" Target="../ctrlProps/ctrlProp718.xml"/><Relationship Id="rId19" Type="http://schemas.openxmlformats.org/officeDocument/2006/relationships/ctrlProp" Target="../ctrlProps/ctrlProp655.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751.xml"/><Relationship Id="rId21" Type="http://schemas.openxmlformats.org/officeDocument/2006/relationships/ctrlProp" Target="../ctrlProps/ctrlProp746.xml"/><Relationship Id="rId42" Type="http://schemas.openxmlformats.org/officeDocument/2006/relationships/ctrlProp" Target="../ctrlProps/ctrlProp767.xml"/><Relationship Id="rId47" Type="http://schemas.openxmlformats.org/officeDocument/2006/relationships/ctrlProp" Target="../ctrlProps/ctrlProp772.xml"/><Relationship Id="rId63" Type="http://schemas.openxmlformats.org/officeDocument/2006/relationships/ctrlProp" Target="../ctrlProps/ctrlProp788.xml"/><Relationship Id="rId68" Type="http://schemas.openxmlformats.org/officeDocument/2006/relationships/ctrlProp" Target="../ctrlProps/ctrlProp793.xml"/><Relationship Id="rId84" Type="http://schemas.openxmlformats.org/officeDocument/2006/relationships/ctrlProp" Target="../ctrlProps/ctrlProp809.xml"/><Relationship Id="rId89" Type="http://schemas.openxmlformats.org/officeDocument/2006/relationships/ctrlProp" Target="../ctrlProps/ctrlProp814.xml"/><Relationship Id="rId112" Type="http://schemas.openxmlformats.org/officeDocument/2006/relationships/ctrlProp" Target="../ctrlProps/ctrlProp837.xml"/><Relationship Id="rId16" Type="http://schemas.openxmlformats.org/officeDocument/2006/relationships/ctrlProp" Target="../ctrlProps/ctrlProp741.xml"/><Relationship Id="rId107" Type="http://schemas.openxmlformats.org/officeDocument/2006/relationships/ctrlProp" Target="../ctrlProps/ctrlProp832.xml"/><Relationship Id="rId11" Type="http://schemas.openxmlformats.org/officeDocument/2006/relationships/ctrlProp" Target="../ctrlProps/ctrlProp736.xml"/><Relationship Id="rId32" Type="http://schemas.openxmlformats.org/officeDocument/2006/relationships/ctrlProp" Target="../ctrlProps/ctrlProp757.xml"/><Relationship Id="rId37" Type="http://schemas.openxmlformats.org/officeDocument/2006/relationships/ctrlProp" Target="../ctrlProps/ctrlProp762.xml"/><Relationship Id="rId53" Type="http://schemas.openxmlformats.org/officeDocument/2006/relationships/ctrlProp" Target="../ctrlProps/ctrlProp778.xml"/><Relationship Id="rId58" Type="http://schemas.openxmlformats.org/officeDocument/2006/relationships/ctrlProp" Target="../ctrlProps/ctrlProp783.xml"/><Relationship Id="rId74" Type="http://schemas.openxmlformats.org/officeDocument/2006/relationships/ctrlProp" Target="../ctrlProps/ctrlProp799.xml"/><Relationship Id="rId79" Type="http://schemas.openxmlformats.org/officeDocument/2006/relationships/ctrlProp" Target="../ctrlProps/ctrlProp804.xml"/><Relationship Id="rId102" Type="http://schemas.openxmlformats.org/officeDocument/2006/relationships/ctrlProp" Target="../ctrlProps/ctrlProp827.xml"/><Relationship Id="rId5" Type="http://schemas.openxmlformats.org/officeDocument/2006/relationships/ctrlProp" Target="../ctrlProps/ctrlProp730.xml"/><Relationship Id="rId90" Type="http://schemas.openxmlformats.org/officeDocument/2006/relationships/ctrlProp" Target="../ctrlProps/ctrlProp815.xml"/><Relationship Id="rId95" Type="http://schemas.openxmlformats.org/officeDocument/2006/relationships/ctrlProp" Target="../ctrlProps/ctrlProp820.xml"/><Relationship Id="rId22" Type="http://schemas.openxmlformats.org/officeDocument/2006/relationships/ctrlProp" Target="../ctrlProps/ctrlProp747.xml"/><Relationship Id="rId27" Type="http://schemas.openxmlformats.org/officeDocument/2006/relationships/ctrlProp" Target="../ctrlProps/ctrlProp752.xml"/><Relationship Id="rId43" Type="http://schemas.openxmlformats.org/officeDocument/2006/relationships/ctrlProp" Target="../ctrlProps/ctrlProp768.xml"/><Relationship Id="rId48" Type="http://schemas.openxmlformats.org/officeDocument/2006/relationships/ctrlProp" Target="../ctrlProps/ctrlProp773.xml"/><Relationship Id="rId64" Type="http://schemas.openxmlformats.org/officeDocument/2006/relationships/ctrlProp" Target="../ctrlProps/ctrlProp789.xml"/><Relationship Id="rId69" Type="http://schemas.openxmlformats.org/officeDocument/2006/relationships/ctrlProp" Target="../ctrlProps/ctrlProp794.xml"/><Relationship Id="rId113" Type="http://schemas.openxmlformats.org/officeDocument/2006/relationships/ctrlProp" Target="../ctrlProps/ctrlProp838.xml"/><Relationship Id="rId80" Type="http://schemas.openxmlformats.org/officeDocument/2006/relationships/ctrlProp" Target="../ctrlProps/ctrlProp805.xml"/><Relationship Id="rId85" Type="http://schemas.openxmlformats.org/officeDocument/2006/relationships/ctrlProp" Target="../ctrlProps/ctrlProp810.xml"/><Relationship Id="rId12" Type="http://schemas.openxmlformats.org/officeDocument/2006/relationships/ctrlProp" Target="../ctrlProps/ctrlProp737.xml"/><Relationship Id="rId17" Type="http://schemas.openxmlformats.org/officeDocument/2006/relationships/ctrlProp" Target="../ctrlProps/ctrlProp742.xml"/><Relationship Id="rId33" Type="http://schemas.openxmlformats.org/officeDocument/2006/relationships/ctrlProp" Target="../ctrlProps/ctrlProp758.xml"/><Relationship Id="rId38" Type="http://schemas.openxmlformats.org/officeDocument/2006/relationships/ctrlProp" Target="../ctrlProps/ctrlProp763.xml"/><Relationship Id="rId59" Type="http://schemas.openxmlformats.org/officeDocument/2006/relationships/ctrlProp" Target="../ctrlProps/ctrlProp784.xml"/><Relationship Id="rId103" Type="http://schemas.openxmlformats.org/officeDocument/2006/relationships/ctrlProp" Target="../ctrlProps/ctrlProp828.xml"/><Relationship Id="rId108" Type="http://schemas.openxmlformats.org/officeDocument/2006/relationships/ctrlProp" Target="../ctrlProps/ctrlProp833.xml"/><Relationship Id="rId54" Type="http://schemas.openxmlformats.org/officeDocument/2006/relationships/ctrlProp" Target="../ctrlProps/ctrlProp779.xml"/><Relationship Id="rId70" Type="http://schemas.openxmlformats.org/officeDocument/2006/relationships/ctrlProp" Target="../ctrlProps/ctrlProp795.xml"/><Relationship Id="rId75" Type="http://schemas.openxmlformats.org/officeDocument/2006/relationships/ctrlProp" Target="../ctrlProps/ctrlProp800.xml"/><Relationship Id="rId91" Type="http://schemas.openxmlformats.org/officeDocument/2006/relationships/ctrlProp" Target="../ctrlProps/ctrlProp816.xml"/><Relationship Id="rId96" Type="http://schemas.openxmlformats.org/officeDocument/2006/relationships/ctrlProp" Target="../ctrlProps/ctrlProp821.xml"/><Relationship Id="rId1" Type="http://schemas.openxmlformats.org/officeDocument/2006/relationships/printerSettings" Target="../printerSettings/printerSettings8.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6" Type="http://schemas.openxmlformats.org/officeDocument/2006/relationships/ctrlProp" Target="../ctrlProps/ctrlProp831.xml"/><Relationship Id="rId114" Type="http://schemas.openxmlformats.org/officeDocument/2006/relationships/comments" Target="../comments7.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65" Type="http://schemas.openxmlformats.org/officeDocument/2006/relationships/ctrlProp" Target="../ctrlProps/ctrlProp790.xml"/><Relationship Id="rId73" Type="http://schemas.openxmlformats.org/officeDocument/2006/relationships/ctrlProp" Target="../ctrlProps/ctrlProp798.xml"/><Relationship Id="rId78" Type="http://schemas.openxmlformats.org/officeDocument/2006/relationships/ctrlProp" Target="../ctrlProps/ctrlProp803.xml"/><Relationship Id="rId81" Type="http://schemas.openxmlformats.org/officeDocument/2006/relationships/ctrlProp" Target="../ctrlProps/ctrlProp806.xml"/><Relationship Id="rId86" Type="http://schemas.openxmlformats.org/officeDocument/2006/relationships/ctrlProp" Target="../ctrlProps/ctrlProp811.xml"/><Relationship Id="rId94" Type="http://schemas.openxmlformats.org/officeDocument/2006/relationships/ctrlProp" Target="../ctrlProps/ctrlProp819.xml"/><Relationship Id="rId99" Type="http://schemas.openxmlformats.org/officeDocument/2006/relationships/ctrlProp" Target="../ctrlProps/ctrlProp824.xml"/><Relationship Id="rId101" Type="http://schemas.openxmlformats.org/officeDocument/2006/relationships/ctrlProp" Target="../ctrlProps/ctrlProp826.xml"/><Relationship Id="rId4" Type="http://schemas.openxmlformats.org/officeDocument/2006/relationships/ctrlProp" Target="../ctrlProps/ctrlProp729.xml"/><Relationship Id="rId9" Type="http://schemas.openxmlformats.org/officeDocument/2006/relationships/ctrlProp" Target="../ctrlProps/ctrlProp734.xml"/><Relationship Id="rId13" Type="http://schemas.openxmlformats.org/officeDocument/2006/relationships/ctrlProp" Target="../ctrlProps/ctrlProp738.xml"/><Relationship Id="rId18" Type="http://schemas.openxmlformats.org/officeDocument/2006/relationships/ctrlProp" Target="../ctrlProps/ctrlProp743.xml"/><Relationship Id="rId39" Type="http://schemas.openxmlformats.org/officeDocument/2006/relationships/ctrlProp" Target="../ctrlProps/ctrlProp764.xml"/><Relationship Id="rId109" Type="http://schemas.openxmlformats.org/officeDocument/2006/relationships/ctrlProp" Target="../ctrlProps/ctrlProp834.xml"/><Relationship Id="rId34" Type="http://schemas.openxmlformats.org/officeDocument/2006/relationships/ctrlProp" Target="../ctrlProps/ctrlProp759.xml"/><Relationship Id="rId50" Type="http://schemas.openxmlformats.org/officeDocument/2006/relationships/ctrlProp" Target="../ctrlProps/ctrlProp775.xml"/><Relationship Id="rId55" Type="http://schemas.openxmlformats.org/officeDocument/2006/relationships/ctrlProp" Target="../ctrlProps/ctrlProp780.xml"/><Relationship Id="rId76" Type="http://schemas.openxmlformats.org/officeDocument/2006/relationships/ctrlProp" Target="../ctrlProps/ctrlProp801.xml"/><Relationship Id="rId97" Type="http://schemas.openxmlformats.org/officeDocument/2006/relationships/ctrlProp" Target="../ctrlProps/ctrlProp822.xml"/><Relationship Id="rId104" Type="http://schemas.openxmlformats.org/officeDocument/2006/relationships/ctrlProp" Target="../ctrlProps/ctrlProp829.xml"/><Relationship Id="rId7" Type="http://schemas.openxmlformats.org/officeDocument/2006/relationships/ctrlProp" Target="../ctrlProps/ctrlProp732.xml"/><Relationship Id="rId71" Type="http://schemas.openxmlformats.org/officeDocument/2006/relationships/ctrlProp" Target="../ctrlProps/ctrlProp796.xml"/><Relationship Id="rId92" Type="http://schemas.openxmlformats.org/officeDocument/2006/relationships/ctrlProp" Target="../ctrlProps/ctrlProp817.xml"/><Relationship Id="rId2" Type="http://schemas.openxmlformats.org/officeDocument/2006/relationships/drawing" Target="../drawings/drawing11.xml"/><Relationship Id="rId29" Type="http://schemas.openxmlformats.org/officeDocument/2006/relationships/ctrlProp" Target="../ctrlProps/ctrlProp754.xml"/><Relationship Id="rId24" Type="http://schemas.openxmlformats.org/officeDocument/2006/relationships/ctrlProp" Target="../ctrlProps/ctrlProp749.xml"/><Relationship Id="rId40" Type="http://schemas.openxmlformats.org/officeDocument/2006/relationships/ctrlProp" Target="../ctrlProps/ctrlProp765.xml"/><Relationship Id="rId45" Type="http://schemas.openxmlformats.org/officeDocument/2006/relationships/ctrlProp" Target="../ctrlProps/ctrlProp770.xml"/><Relationship Id="rId66" Type="http://schemas.openxmlformats.org/officeDocument/2006/relationships/ctrlProp" Target="../ctrlProps/ctrlProp791.xml"/><Relationship Id="rId87" Type="http://schemas.openxmlformats.org/officeDocument/2006/relationships/ctrlProp" Target="../ctrlProps/ctrlProp812.xml"/><Relationship Id="rId110" Type="http://schemas.openxmlformats.org/officeDocument/2006/relationships/ctrlProp" Target="../ctrlProps/ctrlProp835.xml"/><Relationship Id="rId61" Type="http://schemas.openxmlformats.org/officeDocument/2006/relationships/ctrlProp" Target="../ctrlProps/ctrlProp786.xml"/><Relationship Id="rId82" Type="http://schemas.openxmlformats.org/officeDocument/2006/relationships/ctrlProp" Target="../ctrlProps/ctrlProp807.xml"/><Relationship Id="rId19" Type="http://schemas.openxmlformats.org/officeDocument/2006/relationships/ctrlProp" Target="../ctrlProps/ctrlProp744.xml"/><Relationship Id="rId14" Type="http://schemas.openxmlformats.org/officeDocument/2006/relationships/ctrlProp" Target="../ctrlProps/ctrlProp739.xml"/><Relationship Id="rId30" Type="http://schemas.openxmlformats.org/officeDocument/2006/relationships/ctrlProp" Target="../ctrlProps/ctrlProp755.xml"/><Relationship Id="rId35" Type="http://schemas.openxmlformats.org/officeDocument/2006/relationships/ctrlProp" Target="../ctrlProps/ctrlProp760.xml"/><Relationship Id="rId56" Type="http://schemas.openxmlformats.org/officeDocument/2006/relationships/ctrlProp" Target="../ctrlProps/ctrlProp781.xml"/><Relationship Id="rId77" Type="http://schemas.openxmlformats.org/officeDocument/2006/relationships/ctrlProp" Target="../ctrlProps/ctrlProp802.xml"/><Relationship Id="rId100" Type="http://schemas.openxmlformats.org/officeDocument/2006/relationships/ctrlProp" Target="../ctrlProps/ctrlProp825.xml"/><Relationship Id="rId105" Type="http://schemas.openxmlformats.org/officeDocument/2006/relationships/ctrlProp" Target="../ctrlProps/ctrlProp830.xml"/><Relationship Id="rId8" Type="http://schemas.openxmlformats.org/officeDocument/2006/relationships/ctrlProp" Target="../ctrlProps/ctrlProp733.xml"/><Relationship Id="rId51" Type="http://schemas.openxmlformats.org/officeDocument/2006/relationships/ctrlProp" Target="../ctrlProps/ctrlProp776.xml"/><Relationship Id="rId72" Type="http://schemas.openxmlformats.org/officeDocument/2006/relationships/ctrlProp" Target="../ctrlProps/ctrlProp797.xml"/><Relationship Id="rId93" Type="http://schemas.openxmlformats.org/officeDocument/2006/relationships/ctrlProp" Target="../ctrlProps/ctrlProp818.xml"/><Relationship Id="rId98" Type="http://schemas.openxmlformats.org/officeDocument/2006/relationships/ctrlProp" Target="../ctrlProps/ctrlProp823.xml"/><Relationship Id="rId3" Type="http://schemas.openxmlformats.org/officeDocument/2006/relationships/vmlDrawing" Target="../drawings/vmlDrawing10.vml"/><Relationship Id="rId25" Type="http://schemas.openxmlformats.org/officeDocument/2006/relationships/ctrlProp" Target="../ctrlProps/ctrlProp750.xml"/><Relationship Id="rId46" Type="http://schemas.openxmlformats.org/officeDocument/2006/relationships/ctrlProp" Target="../ctrlProps/ctrlProp771.xml"/><Relationship Id="rId67" Type="http://schemas.openxmlformats.org/officeDocument/2006/relationships/ctrlProp" Target="../ctrlProps/ctrlProp792.xml"/><Relationship Id="rId20" Type="http://schemas.openxmlformats.org/officeDocument/2006/relationships/ctrlProp" Target="../ctrlProps/ctrlProp745.xml"/><Relationship Id="rId41" Type="http://schemas.openxmlformats.org/officeDocument/2006/relationships/ctrlProp" Target="../ctrlProps/ctrlProp766.xml"/><Relationship Id="rId62" Type="http://schemas.openxmlformats.org/officeDocument/2006/relationships/ctrlProp" Target="../ctrlProps/ctrlProp787.xml"/><Relationship Id="rId83" Type="http://schemas.openxmlformats.org/officeDocument/2006/relationships/ctrlProp" Target="../ctrlProps/ctrlProp808.xml"/><Relationship Id="rId88" Type="http://schemas.openxmlformats.org/officeDocument/2006/relationships/ctrlProp" Target="../ctrlProps/ctrlProp813.xml"/><Relationship Id="rId111" Type="http://schemas.openxmlformats.org/officeDocument/2006/relationships/ctrlProp" Target="../ctrlProps/ctrlProp83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953.xml"/><Relationship Id="rId21" Type="http://schemas.openxmlformats.org/officeDocument/2006/relationships/ctrlProp" Target="../ctrlProps/ctrlProp857.xml"/><Relationship Id="rId42" Type="http://schemas.openxmlformats.org/officeDocument/2006/relationships/ctrlProp" Target="../ctrlProps/ctrlProp878.xml"/><Relationship Id="rId63" Type="http://schemas.openxmlformats.org/officeDocument/2006/relationships/ctrlProp" Target="../ctrlProps/ctrlProp899.xml"/><Relationship Id="rId84" Type="http://schemas.openxmlformats.org/officeDocument/2006/relationships/ctrlProp" Target="../ctrlProps/ctrlProp920.xml"/><Relationship Id="rId138" Type="http://schemas.openxmlformats.org/officeDocument/2006/relationships/ctrlProp" Target="../ctrlProps/ctrlProp974.xml"/><Relationship Id="rId16" Type="http://schemas.openxmlformats.org/officeDocument/2006/relationships/ctrlProp" Target="../ctrlProps/ctrlProp852.xml"/><Relationship Id="rId107" Type="http://schemas.openxmlformats.org/officeDocument/2006/relationships/ctrlProp" Target="../ctrlProps/ctrlProp943.xml"/><Relationship Id="rId11" Type="http://schemas.openxmlformats.org/officeDocument/2006/relationships/ctrlProp" Target="../ctrlProps/ctrlProp847.xml"/><Relationship Id="rId32" Type="http://schemas.openxmlformats.org/officeDocument/2006/relationships/ctrlProp" Target="../ctrlProps/ctrlProp868.xml"/><Relationship Id="rId37" Type="http://schemas.openxmlformats.org/officeDocument/2006/relationships/ctrlProp" Target="../ctrlProps/ctrlProp873.xml"/><Relationship Id="rId53" Type="http://schemas.openxmlformats.org/officeDocument/2006/relationships/ctrlProp" Target="../ctrlProps/ctrlProp889.xml"/><Relationship Id="rId58" Type="http://schemas.openxmlformats.org/officeDocument/2006/relationships/ctrlProp" Target="../ctrlProps/ctrlProp894.xml"/><Relationship Id="rId74" Type="http://schemas.openxmlformats.org/officeDocument/2006/relationships/ctrlProp" Target="../ctrlProps/ctrlProp910.xml"/><Relationship Id="rId79" Type="http://schemas.openxmlformats.org/officeDocument/2006/relationships/ctrlProp" Target="../ctrlProps/ctrlProp915.xml"/><Relationship Id="rId102" Type="http://schemas.openxmlformats.org/officeDocument/2006/relationships/ctrlProp" Target="../ctrlProps/ctrlProp938.xml"/><Relationship Id="rId123" Type="http://schemas.openxmlformats.org/officeDocument/2006/relationships/ctrlProp" Target="../ctrlProps/ctrlProp959.xml"/><Relationship Id="rId128" Type="http://schemas.openxmlformats.org/officeDocument/2006/relationships/ctrlProp" Target="../ctrlProps/ctrlProp964.xml"/><Relationship Id="rId5" Type="http://schemas.openxmlformats.org/officeDocument/2006/relationships/ctrlProp" Target="../ctrlProps/ctrlProp841.xml"/><Relationship Id="rId90" Type="http://schemas.openxmlformats.org/officeDocument/2006/relationships/ctrlProp" Target="../ctrlProps/ctrlProp926.xml"/><Relationship Id="rId95" Type="http://schemas.openxmlformats.org/officeDocument/2006/relationships/ctrlProp" Target="../ctrlProps/ctrlProp931.xml"/><Relationship Id="rId22" Type="http://schemas.openxmlformats.org/officeDocument/2006/relationships/ctrlProp" Target="../ctrlProps/ctrlProp858.xml"/><Relationship Id="rId27" Type="http://schemas.openxmlformats.org/officeDocument/2006/relationships/ctrlProp" Target="../ctrlProps/ctrlProp863.xml"/><Relationship Id="rId43" Type="http://schemas.openxmlformats.org/officeDocument/2006/relationships/ctrlProp" Target="../ctrlProps/ctrlProp879.xml"/><Relationship Id="rId48" Type="http://schemas.openxmlformats.org/officeDocument/2006/relationships/ctrlProp" Target="../ctrlProps/ctrlProp884.xml"/><Relationship Id="rId64" Type="http://schemas.openxmlformats.org/officeDocument/2006/relationships/ctrlProp" Target="../ctrlProps/ctrlProp900.xml"/><Relationship Id="rId69" Type="http://schemas.openxmlformats.org/officeDocument/2006/relationships/ctrlProp" Target="../ctrlProps/ctrlProp905.xml"/><Relationship Id="rId113" Type="http://schemas.openxmlformats.org/officeDocument/2006/relationships/ctrlProp" Target="../ctrlProps/ctrlProp949.xml"/><Relationship Id="rId118" Type="http://schemas.openxmlformats.org/officeDocument/2006/relationships/ctrlProp" Target="../ctrlProps/ctrlProp954.xml"/><Relationship Id="rId134" Type="http://schemas.openxmlformats.org/officeDocument/2006/relationships/ctrlProp" Target="../ctrlProps/ctrlProp970.xml"/><Relationship Id="rId139" Type="http://schemas.openxmlformats.org/officeDocument/2006/relationships/ctrlProp" Target="../ctrlProps/ctrlProp975.xml"/><Relationship Id="rId80" Type="http://schemas.openxmlformats.org/officeDocument/2006/relationships/ctrlProp" Target="../ctrlProps/ctrlProp916.xml"/><Relationship Id="rId85" Type="http://schemas.openxmlformats.org/officeDocument/2006/relationships/ctrlProp" Target="../ctrlProps/ctrlProp921.xml"/><Relationship Id="rId12" Type="http://schemas.openxmlformats.org/officeDocument/2006/relationships/ctrlProp" Target="../ctrlProps/ctrlProp848.xml"/><Relationship Id="rId17" Type="http://schemas.openxmlformats.org/officeDocument/2006/relationships/ctrlProp" Target="../ctrlProps/ctrlProp853.xml"/><Relationship Id="rId33" Type="http://schemas.openxmlformats.org/officeDocument/2006/relationships/ctrlProp" Target="../ctrlProps/ctrlProp869.xml"/><Relationship Id="rId38" Type="http://schemas.openxmlformats.org/officeDocument/2006/relationships/ctrlProp" Target="../ctrlProps/ctrlProp874.xml"/><Relationship Id="rId59" Type="http://schemas.openxmlformats.org/officeDocument/2006/relationships/ctrlProp" Target="../ctrlProps/ctrlProp895.xml"/><Relationship Id="rId103" Type="http://schemas.openxmlformats.org/officeDocument/2006/relationships/ctrlProp" Target="../ctrlProps/ctrlProp939.xml"/><Relationship Id="rId108" Type="http://schemas.openxmlformats.org/officeDocument/2006/relationships/ctrlProp" Target="../ctrlProps/ctrlProp944.xml"/><Relationship Id="rId124" Type="http://schemas.openxmlformats.org/officeDocument/2006/relationships/ctrlProp" Target="../ctrlProps/ctrlProp960.xml"/><Relationship Id="rId129" Type="http://schemas.openxmlformats.org/officeDocument/2006/relationships/ctrlProp" Target="../ctrlProps/ctrlProp965.xml"/><Relationship Id="rId54" Type="http://schemas.openxmlformats.org/officeDocument/2006/relationships/ctrlProp" Target="../ctrlProps/ctrlProp890.xml"/><Relationship Id="rId70" Type="http://schemas.openxmlformats.org/officeDocument/2006/relationships/ctrlProp" Target="../ctrlProps/ctrlProp906.xml"/><Relationship Id="rId75" Type="http://schemas.openxmlformats.org/officeDocument/2006/relationships/ctrlProp" Target="../ctrlProps/ctrlProp911.xml"/><Relationship Id="rId91" Type="http://schemas.openxmlformats.org/officeDocument/2006/relationships/ctrlProp" Target="../ctrlProps/ctrlProp927.xml"/><Relationship Id="rId96" Type="http://schemas.openxmlformats.org/officeDocument/2006/relationships/ctrlProp" Target="../ctrlProps/ctrlProp932.xml"/><Relationship Id="rId140" Type="http://schemas.openxmlformats.org/officeDocument/2006/relationships/ctrlProp" Target="../ctrlProps/ctrlProp976.xml"/><Relationship Id="rId1" Type="http://schemas.openxmlformats.org/officeDocument/2006/relationships/drawing" Target="../drawings/drawing12.xml"/><Relationship Id="rId6" Type="http://schemas.openxmlformats.org/officeDocument/2006/relationships/ctrlProp" Target="../ctrlProps/ctrlProp842.xml"/><Relationship Id="rId23" Type="http://schemas.openxmlformats.org/officeDocument/2006/relationships/ctrlProp" Target="../ctrlProps/ctrlProp859.xml"/><Relationship Id="rId28" Type="http://schemas.openxmlformats.org/officeDocument/2006/relationships/ctrlProp" Target="../ctrlProps/ctrlProp864.xml"/><Relationship Id="rId49" Type="http://schemas.openxmlformats.org/officeDocument/2006/relationships/ctrlProp" Target="../ctrlProps/ctrlProp885.xml"/><Relationship Id="rId114" Type="http://schemas.openxmlformats.org/officeDocument/2006/relationships/ctrlProp" Target="../ctrlProps/ctrlProp950.xml"/><Relationship Id="rId119" Type="http://schemas.openxmlformats.org/officeDocument/2006/relationships/ctrlProp" Target="../ctrlProps/ctrlProp955.xml"/><Relationship Id="rId44" Type="http://schemas.openxmlformats.org/officeDocument/2006/relationships/ctrlProp" Target="../ctrlProps/ctrlProp880.xml"/><Relationship Id="rId60" Type="http://schemas.openxmlformats.org/officeDocument/2006/relationships/ctrlProp" Target="../ctrlProps/ctrlProp896.xml"/><Relationship Id="rId65" Type="http://schemas.openxmlformats.org/officeDocument/2006/relationships/ctrlProp" Target="../ctrlProps/ctrlProp901.xml"/><Relationship Id="rId81" Type="http://schemas.openxmlformats.org/officeDocument/2006/relationships/ctrlProp" Target="../ctrlProps/ctrlProp917.xml"/><Relationship Id="rId86" Type="http://schemas.openxmlformats.org/officeDocument/2006/relationships/ctrlProp" Target="../ctrlProps/ctrlProp922.xml"/><Relationship Id="rId130" Type="http://schemas.openxmlformats.org/officeDocument/2006/relationships/ctrlProp" Target="../ctrlProps/ctrlProp966.xml"/><Relationship Id="rId135" Type="http://schemas.openxmlformats.org/officeDocument/2006/relationships/ctrlProp" Target="../ctrlProps/ctrlProp971.xml"/><Relationship Id="rId13" Type="http://schemas.openxmlformats.org/officeDocument/2006/relationships/ctrlProp" Target="../ctrlProps/ctrlProp849.xml"/><Relationship Id="rId18" Type="http://schemas.openxmlformats.org/officeDocument/2006/relationships/ctrlProp" Target="../ctrlProps/ctrlProp854.xml"/><Relationship Id="rId39" Type="http://schemas.openxmlformats.org/officeDocument/2006/relationships/ctrlProp" Target="../ctrlProps/ctrlProp875.xml"/><Relationship Id="rId109" Type="http://schemas.openxmlformats.org/officeDocument/2006/relationships/ctrlProp" Target="../ctrlProps/ctrlProp945.xml"/><Relationship Id="rId34" Type="http://schemas.openxmlformats.org/officeDocument/2006/relationships/ctrlProp" Target="../ctrlProps/ctrlProp870.xml"/><Relationship Id="rId50" Type="http://schemas.openxmlformats.org/officeDocument/2006/relationships/ctrlProp" Target="../ctrlProps/ctrlProp886.xml"/><Relationship Id="rId55" Type="http://schemas.openxmlformats.org/officeDocument/2006/relationships/ctrlProp" Target="../ctrlProps/ctrlProp891.xml"/><Relationship Id="rId76" Type="http://schemas.openxmlformats.org/officeDocument/2006/relationships/ctrlProp" Target="../ctrlProps/ctrlProp912.xml"/><Relationship Id="rId97" Type="http://schemas.openxmlformats.org/officeDocument/2006/relationships/ctrlProp" Target="../ctrlProps/ctrlProp933.xml"/><Relationship Id="rId104" Type="http://schemas.openxmlformats.org/officeDocument/2006/relationships/ctrlProp" Target="../ctrlProps/ctrlProp940.xml"/><Relationship Id="rId120" Type="http://schemas.openxmlformats.org/officeDocument/2006/relationships/ctrlProp" Target="../ctrlProps/ctrlProp956.xml"/><Relationship Id="rId125" Type="http://schemas.openxmlformats.org/officeDocument/2006/relationships/ctrlProp" Target="../ctrlProps/ctrlProp961.xml"/><Relationship Id="rId7" Type="http://schemas.openxmlformats.org/officeDocument/2006/relationships/ctrlProp" Target="../ctrlProps/ctrlProp843.xml"/><Relationship Id="rId71" Type="http://schemas.openxmlformats.org/officeDocument/2006/relationships/ctrlProp" Target="../ctrlProps/ctrlProp907.xml"/><Relationship Id="rId92" Type="http://schemas.openxmlformats.org/officeDocument/2006/relationships/ctrlProp" Target="../ctrlProps/ctrlProp928.xml"/><Relationship Id="rId2" Type="http://schemas.openxmlformats.org/officeDocument/2006/relationships/vmlDrawing" Target="../drawings/vmlDrawing12.vml"/><Relationship Id="rId29" Type="http://schemas.openxmlformats.org/officeDocument/2006/relationships/ctrlProp" Target="../ctrlProps/ctrlProp865.xml"/><Relationship Id="rId24" Type="http://schemas.openxmlformats.org/officeDocument/2006/relationships/ctrlProp" Target="../ctrlProps/ctrlProp860.xml"/><Relationship Id="rId40" Type="http://schemas.openxmlformats.org/officeDocument/2006/relationships/ctrlProp" Target="../ctrlProps/ctrlProp876.xml"/><Relationship Id="rId45" Type="http://schemas.openxmlformats.org/officeDocument/2006/relationships/ctrlProp" Target="../ctrlProps/ctrlProp881.xml"/><Relationship Id="rId66" Type="http://schemas.openxmlformats.org/officeDocument/2006/relationships/ctrlProp" Target="../ctrlProps/ctrlProp902.xml"/><Relationship Id="rId87" Type="http://schemas.openxmlformats.org/officeDocument/2006/relationships/ctrlProp" Target="../ctrlProps/ctrlProp923.xml"/><Relationship Id="rId110" Type="http://schemas.openxmlformats.org/officeDocument/2006/relationships/ctrlProp" Target="../ctrlProps/ctrlProp946.xml"/><Relationship Id="rId115" Type="http://schemas.openxmlformats.org/officeDocument/2006/relationships/ctrlProp" Target="../ctrlProps/ctrlProp951.xml"/><Relationship Id="rId131" Type="http://schemas.openxmlformats.org/officeDocument/2006/relationships/ctrlProp" Target="../ctrlProps/ctrlProp967.xml"/><Relationship Id="rId136" Type="http://schemas.openxmlformats.org/officeDocument/2006/relationships/ctrlProp" Target="../ctrlProps/ctrlProp972.xml"/><Relationship Id="rId61" Type="http://schemas.openxmlformats.org/officeDocument/2006/relationships/ctrlProp" Target="../ctrlProps/ctrlProp897.xml"/><Relationship Id="rId82" Type="http://schemas.openxmlformats.org/officeDocument/2006/relationships/ctrlProp" Target="../ctrlProps/ctrlProp918.xml"/><Relationship Id="rId19" Type="http://schemas.openxmlformats.org/officeDocument/2006/relationships/ctrlProp" Target="../ctrlProps/ctrlProp855.xml"/><Relationship Id="rId14" Type="http://schemas.openxmlformats.org/officeDocument/2006/relationships/ctrlProp" Target="../ctrlProps/ctrlProp850.xml"/><Relationship Id="rId30" Type="http://schemas.openxmlformats.org/officeDocument/2006/relationships/ctrlProp" Target="../ctrlProps/ctrlProp866.xml"/><Relationship Id="rId35" Type="http://schemas.openxmlformats.org/officeDocument/2006/relationships/ctrlProp" Target="../ctrlProps/ctrlProp871.xml"/><Relationship Id="rId56" Type="http://schemas.openxmlformats.org/officeDocument/2006/relationships/ctrlProp" Target="../ctrlProps/ctrlProp892.xml"/><Relationship Id="rId77" Type="http://schemas.openxmlformats.org/officeDocument/2006/relationships/ctrlProp" Target="../ctrlProps/ctrlProp913.xml"/><Relationship Id="rId100" Type="http://schemas.openxmlformats.org/officeDocument/2006/relationships/ctrlProp" Target="../ctrlProps/ctrlProp936.xml"/><Relationship Id="rId105" Type="http://schemas.openxmlformats.org/officeDocument/2006/relationships/ctrlProp" Target="../ctrlProps/ctrlProp941.xml"/><Relationship Id="rId126" Type="http://schemas.openxmlformats.org/officeDocument/2006/relationships/ctrlProp" Target="../ctrlProps/ctrlProp962.xml"/><Relationship Id="rId8" Type="http://schemas.openxmlformats.org/officeDocument/2006/relationships/ctrlProp" Target="../ctrlProps/ctrlProp844.xml"/><Relationship Id="rId51" Type="http://schemas.openxmlformats.org/officeDocument/2006/relationships/ctrlProp" Target="../ctrlProps/ctrlProp887.xml"/><Relationship Id="rId72" Type="http://schemas.openxmlformats.org/officeDocument/2006/relationships/ctrlProp" Target="../ctrlProps/ctrlProp908.xml"/><Relationship Id="rId93" Type="http://schemas.openxmlformats.org/officeDocument/2006/relationships/ctrlProp" Target="../ctrlProps/ctrlProp929.xml"/><Relationship Id="rId98" Type="http://schemas.openxmlformats.org/officeDocument/2006/relationships/ctrlProp" Target="../ctrlProps/ctrlProp934.xml"/><Relationship Id="rId121" Type="http://schemas.openxmlformats.org/officeDocument/2006/relationships/ctrlProp" Target="../ctrlProps/ctrlProp957.xml"/><Relationship Id="rId3" Type="http://schemas.openxmlformats.org/officeDocument/2006/relationships/ctrlProp" Target="../ctrlProps/ctrlProp839.xml"/><Relationship Id="rId25" Type="http://schemas.openxmlformats.org/officeDocument/2006/relationships/ctrlProp" Target="../ctrlProps/ctrlProp861.xml"/><Relationship Id="rId46" Type="http://schemas.openxmlformats.org/officeDocument/2006/relationships/ctrlProp" Target="../ctrlProps/ctrlProp882.xml"/><Relationship Id="rId67" Type="http://schemas.openxmlformats.org/officeDocument/2006/relationships/ctrlProp" Target="../ctrlProps/ctrlProp903.xml"/><Relationship Id="rId116" Type="http://schemas.openxmlformats.org/officeDocument/2006/relationships/ctrlProp" Target="../ctrlProps/ctrlProp952.xml"/><Relationship Id="rId137" Type="http://schemas.openxmlformats.org/officeDocument/2006/relationships/ctrlProp" Target="../ctrlProps/ctrlProp973.xml"/><Relationship Id="rId20" Type="http://schemas.openxmlformats.org/officeDocument/2006/relationships/ctrlProp" Target="../ctrlProps/ctrlProp856.xml"/><Relationship Id="rId41" Type="http://schemas.openxmlformats.org/officeDocument/2006/relationships/ctrlProp" Target="../ctrlProps/ctrlProp877.xml"/><Relationship Id="rId62" Type="http://schemas.openxmlformats.org/officeDocument/2006/relationships/ctrlProp" Target="../ctrlProps/ctrlProp898.xml"/><Relationship Id="rId83" Type="http://schemas.openxmlformats.org/officeDocument/2006/relationships/ctrlProp" Target="../ctrlProps/ctrlProp919.xml"/><Relationship Id="rId88" Type="http://schemas.openxmlformats.org/officeDocument/2006/relationships/ctrlProp" Target="../ctrlProps/ctrlProp924.xml"/><Relationship Id="rId111" Type="http://schemas.openxmlformats.org/officeDocument/2006/relationships/ctrlProp" Target="../ctrlProps/ctrlProp947.xml"/><Relationship Id="rId132" Type="http://schemas.openxmlformats.org/officeDocument/2006/relationships/ctrlProp" Target="../ctrlProps/ctrlProp968.xml"/><Relationship Id="rId15" Type="http://schemas.openxmlformats.org/officeDocument/2006/relationships/ctrlProp" Target="../ctrlProps/ctrlProp851.xml"/><Relationship Id="rId36" Type="http://schemas.openxmlformats.org/officeDocument/2006/relationships/ctrlProp" Target="../ctrlProps/ctrlProp872.xml"/><Relationship Id="rId57" Type="http://schemas.openxmlformats.org/officeDocument/2006/relationships/ctrlProp" Target="../ctrlProps/ctrlProp893.xml"/><Relationship Id="rId106" Type="http://schemas.openxmlformats.org/officeDocument/2006/relationships/ctrlProp" Target="../ctrlProps/ctrlProp942.xml"/><Relationship Id="rId127" Type="http://schemas.openxmlformats.org/officeDocument/2006/relationships/ctrlProp" Target="../ctrlProps/ctrlProp963.xml"/><Relationship Id="rId10" Type="http://schemas.openxmlformats.org/officeDocument/2006/relationships/ctrlProp" Target="../ctrlProps/ctrlProp846.xml"/><Relationship Id="rId31" Type="http://schemas.openxmlformats.org/officeDocument/2006/relationships/ctrlProp" Target="../ctrlProps/ctrlProp867.xml"/><Relationship Id="rId52" Type="http://schemas.openxmlformats.org/officeDocument/2006/relationships/ctrlProp" Target="../ctrlProps/ctrlProp888.xml"/><Relationship Id="rId73" Type="http://schemas.openxmlformats.org/officeDocument/2006/relationships/ctrlProp" Target="../ctrlProps/ctrlProp909.xml"/><Relationship Id="rId78" Type="http://schemas.openxmlformats.org/officeDocument/2006/relationships/ctrlProp" Target="../ctrlProps/ctrlProp914.xml"/><Relationship Id="rId94" Type="http://schemas.openxmlformats.org/officeDocument/2006/relationships/ctrlProp" Target="../ctrlProps/ctrlProp930.xml"/><Relationship Id="rId99" Type="http://schemas.openxmlformats.org/officeDocument/2006/relationships/ctrlProp" Target="../ctrlProps/ctrlProp935.xml"/><Relationship Id="rId101" Type="http://schemas.openxmlformats.org/officeDocument/2006/relationships/ctrlProp" Target="../ctrlProps/ctrlProp937.xml"/><Relationship Id="rId122" Type="http://schemas.openxmlformats.org/officeDocument/2006/relationships/ctrlProp" Target="../ctrlProps/ctrlProp958.xml"/><Relationship Id="rId4" Type="http://schemas.openxmlformats.org/officeDocument/2006/relationships/ctrlProp" Target="../ctrlProps/ctrlProp840.xml"/><Relationship Id="rId9" Type="http://schemas.openxmlformats.org/officeDocument/2006/relationships/ctrlProp" Target="../ctrlProps/ctrlProp845.xml"/><Relationship Id="rId26" Type="http://schemas.openxmlformats.org/officeDocument/2006/relationships/ctrlProp" Target="../ctrlProps/ctrlProp862.xml"/><Relationship Id="rId47" Type="http://schemas.openxmlformats.org/officeDocument/2006/relationships/ctrlProp" Target="../ctrlProps/ctrlProp883.xml"/><Relationship Id="rId68" Type="http://schemas.openxmlformats.org/officeDocument/2006/relationships/ctrlProp" Target="../ctrlProps/ctrlProp904.xml"/><Relationship Id="rId89" Type="http://schemas.openxmlformats.org/officeDocument/2006/relationships/ctrlProp" Target="../ctrlProps/ctrlProp925.xml"/><Relationship Id="rId112" Type="http://schemas.openxmlformats.org/officeDocument/2006/relationships/ctrlProp" Target="../ctrlProps/ctrlProp948.xml"/><Relationship Id="rId133" Type="http://schemas.openxmlformats.org/officeDocument/2006/relationships/ctrlProp" Target="../ctrlProps/ctrlProp96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981.xml"/><Relationship Id="rId3" Type="http://schemas.openxmlformats.org/officeDocument/2006/relationships/vmlDrawing" Target="../drawings/vmlDrawing13.vml"/><Relationship Id="rId7" Type="http://schemas.openxmlformats.org/officeDocument/2006/relationships/ctrlProp" Target="../ctrlProps/ctrlProp980.x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979.xml"/><Relationship Id="rId5" Type="http://schemas.openxmlformats.org/officeDocument/2006/relationships/ctrlProp" Target="../ctrlProps/ctrlProp978.xml"/><Relationship Id="rId4" Type="http://schemas.openxmlformats.org/officeDocument/2006/relationships/ctrlProp" Target="../ctrlProps/ctrlProp977.xml"/><Relationship Id="rId9" Type="http://schemas.openxmlformats.org/officeDocument/2006/relationships/ctrlProp" Target="../ctrlProps/ctrlProp982.xml"/></Relationships>
</file>

<file path=xl/worksheets/_rels/sheet15.xml.rels><?xml version="1.0" encoding="UTF-8" standalone="yes"?>
<Relationships xmlns="http://schemas.openxmlformats.org/package/2006/relationships"><Relationship Id="rId8" Type="http://schemas.openxmlformats.org/officeDocument/2006/relationships/hyperlink" Target="https://paypay.ne.jp/store/introduction/jichitai-gift-vouchers/" TargetMode="External"/><Relationship Id="rId3" Type="http://schemas.openxmlformats.org/officeDocument/2006/relationships/hyperlink" Target="https://paypay.ne.jp/store/introduction/jichitai-cp/" TargetMode="External"/><Relationship Id="rId7" Type="http://schemas.openxmlformats.org/officeDocument/2006/relationships/hyperlink" Target="https://paypay.ne.jp/store/introduction/jichitai-gift-vouchers/" TargetMode="External"/><Relationship Id="rId2" Type="http://schemas.openxmlformats.org/officeDocument/2006/relationships/hyperlink" Target="https://paypay.ne.jp/store/introduction/jichitai-cp/" TargetMode="External"/><Relationship Id="rId1" Type="http://schemas.openxmlformats.org/officeDocument/2006/relationships/hyperlink" Target="https://paypay.ne.jp/event/support-local/" TargetMode="External"/><Relationship Id="rId6" Type="http://schemas.openxmlformats.org/officeDocument/2006/relationships/hyperlink" Target="https://paypay.ne.jp/guide/gift-vouchers/" TargetMode="External"/><Relationship Id="rId5" Type="http://schemas.openxmlformats.org/officeDocument/2006/relationships/hyperlink" Target="https://paypay.ne.jp/help/c0443/" TargetMode="External"/><Relationship Id="rId10" Type="http://schemas.openxmlformats.org/officeDocument/2006/relationships/hyperlink" Target="https://paypay.ne.jp/store/introduction/jichitai-cp/" TargetMode="External"/><Relationship Id="rId4" Type="http://schemas.openxmlformats.org/officeDocument/2006/relationships/hyperlink" Target="https://paypay.ne.jp/store/introduction/jichitai-cp/" TargetMode="External"/><Relationship Id="rId9" Type="http://schemas.openxmlformats.org/officeDocument/2006/relationships/hyperlink" Target="https://paypay.ne.jp/store/introduction/jichitai-gift-vouchers/" TargetMode="Externa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88.xml"/><Relationship Id="rId21" Type="http://schemas.openxmlformats.org/officeDocument/2006/relationships/ctrlProp" Target="../ctrlProps/ctrlProp83.xml"/><Relationship Id="rId42" Type="http://schemas.openxmlformats.org/officeDocument/2006/relationships/ctrlProp" Target="../ctrlProps/ctrlProp104.xml"/><Relationship Id="rId47" Type="http://schemas.openxmlformats.org/officeDocument/2006/relationships/ctrlProp" Target="../ctrlProps/ctrlProp109.xml"/><Relationship Id="rId63" Type="http://schemas.openxmlformats.org/officeDocument/2006/relationships/ctrlProp" Target="../ctrlProps/ctrlProp125.xml"/><Relationship Id="rId68" Type="http://schemas.openxmlformats.org/officeDocument/2006/relationships/ctrlProp" Target="../ctrlProps/ctrlProp130.xml"/><Relationship Id="rId84" Type="http://schemas.openxmlformats.org/officeDocument/2006/relationships/ctrlProp" Target="../ctrlProps/ctrlProp146.xml"/><Relationship Id="rId89" Type="http://schemas.openxmlformats.org/officeDocument/2006/relationships/ctrlProp" Target="../ctrlProps/ctrlProp151.xml"/><Relationship Id="rId16" Type="http://schemas.openxmlformats.org/officeDocument/2006/relationships/ctrlProp" Target="../ctrlProps/ctrlProp78.xml"/><Relationship Id="rId11" Type="http://schemas.openxmlformats.org/officeDocument/2006/relationships/ctrlProp" Target="../ctrlProps/ctrlProp73.xml"/><Relationship Id="rId32" Type="http://schemas.openxmlformats.org/officeDocument/2006/relationships/ctrlProp" Target="../ctrlProps/ctrlProp94.xml"/><Relationship Id="rId37" Type="http://schemas.openxmlformats.org/officeDocument/2006/relationships/ctrlProp" Target="../ctrlProps/ctrlProp99.xml"/><Relationship Id="rId53" Type="http://schemas.openxmlformats.org/officeDocument/2006/relationships/ctrlProp" Target="../ctrlProps/ctrlProp115.xml"/><Relationship Id="rId58" Type="http://schemas.openxmlformats.org/officeDocument/2006/relationships/ctrlProp" Target="../ctrlProps/ctrlProp120.xml"/><Relationship Id="rId74" Type="http://schemas.openxmlformats.org/officeDocument/2006/relationships/ctrlProp" Target="../ctrlProps/ctrlProp136.xml"/><Relationship Id="rId79" Type="http://schemas.openxmlformats.org/officeDocument/2006/relationships/ctrlProp" Target="../ctrlProps/ctrlProp141.xml"/><Relationship Id="rId5" Type="http://schemas.openxmlformats.org/officeDocument/2006/relationships/ctrlProp" Target="../ctrlProps/ctrlProp67.xml"/><Relationship Id="rId90" Type="http://schemas.openxmlformats.org/officeDocument/2006/relationships/ctrlProp" Target="../ctrlProps/ctrlProp152.xml"/><Relationship Id="rId95" Type="http://schemas.openxmlformats.org/officeDocument/2006/relationships/ctrlProp" Target="../ctrlProps/ctrlProp157.xml"/><Relationship Id="rId22" Type="http://schemas.openxmlformats.org/officeDocument/2006/relationships/ctrlProp" Target="../ctrlProps/ctrlProp84.xml"/><Relationship Id="rId27" Type="http://schemas.openxmlformats.org/officeDocument/2006/relationships/ctrlProp" Target="../ctrlProps/ctrlProp89.xml"/><Relationship Id="rId43" Type="http://schemas.openxmlformats.org/officeDocument/2006/relationships/ctrlProp" Target="../ctrlProps/ctrlProp105.xml"/><Relationship Id="rId48" Type="http://schemas.openxmlformats.org/officeDocument/2006/relationships/ctrlProp" Target="../ctrlProps/ctrlProp110.xml"/><Relationship Id="rId64" Type="http://schemas.openxmlformats.org/officeDocument/2006/relationships/ctrlProp" Target="../ctrlProps/ctrlProp126.xml"/><Relationship Id="rId69" Type="http://schemas.openxmlformats.org/officeDocument/2006/relationships/ctrlProp" Target="../ctrlProps/ctrlProp131.xml"/><Relationship Id="rId80" Type="http://schemas.openxmlformats.org/officeDocument/2006/relationships/ctrlProp" Target="../ctrlProps/ctrlProp142.xml"/><Relationship Id="rId85" Type="http://schemas.openxmlformats.org/officeDocument/2006/relationships/ctrlProp" Target="../ctrlProps/ctrlProp147.xml"/><Relationship Id="rId3" Type="http://schemas.openxmlformats.org/officeDocument/2006/relationships/vmlDrawing" Target="../drawings/vmlDrawing2.v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59" Type="http://schemas.openxmlformats.org/officeDocument/2006/relationships/ctrlProp" Target="../ctrlProps/ctrlProp121.xml"/><Relationship Id="rId67" Type="http://schemas.openxmlformats.org/officeDocument/2006/relationships/ctrlProp" Target="../ctrlProps/ctrlProp129.xml"/><Relationship Id="rId20" Type="http://schemas.openxmlformats.org/officeDocument/2006/relationships/ctrlProp" Target="../ctrlProps/ctrlProp82.xml"/><Relationship Id="rId41" Type="http://schemas.openxmlformats.org/officeDocument/2006/relationships/ctrlProp" Target="../ctrlProps/ctrlProp103.xml"/><Relationship Id="rId54" Type="http://schemas.openxmlformats.org/officeDocument/2006/relationships/ctrlProp" Target="../ctrlProps/ctrlProp116.xml"/><Relationship Id="rId62" Type="http://schemas.openxmlformats.org/officeDocument/2006/relationships/ctrlProp" Target="../ctrlProps/ctrlProp124.xml"/><Relationship Id="rId70" Type="http://schemas.openxmlformats.org/officeDocument/2006/relationships/ctrlProp" Target="../ctrlProps/ctrlProp132.xml"/><Relationship Id="rId75" Type="http://schemas.openxmlformats.org/officeDocument/2006/relationships/ctrlProp" Target="../ctrlProps/ctrlProp137.xml"/><Relationship Id="rId83" Type="http://schemas.openxmlformats.org/officeDocument/2006/relationships/ctrlProp" Target="../ctrlProps/ctrlProp145.xml"/><Relationship Id="rId88" Type="http://schemas.openxmlformats.org/officeDocument/2006/relationships/ctrlProp" Target="../ctrlProps/ctrlProp150.xml"/><Relationship Id="rId91" Type="http://schemas.openxmlformats.org/officeDocument/2006/relationships/ctrlProp" Target="../ctrlProps/ctrlProp153.xml"/><Relationship Id="rId96" Type="http://schemas.openxmlformats.org/officeDocument/2006/relationships/ctrlProp" Target="../ctrlProps/ctrlProp158.xml"/><Relationship Id="rId1" Type="http://schemas.openxmlformats.org/officeDocument/2006/relationships/printerSettings" Target="../printerSettings/printerSettings2.bin"/><Relationship Id="rId6" Type="http://schemas.openxmlformats.org/officeDocument/2006/relationships/ctrlProp" Target="../ctrlProps/ctrlProp68.xml"/><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49" Type="http://schemas.openxmlformats.org/officeDocument/2006/relationships/ctrlProp" Target="../ctrlProps/ctrlProp111.xml"/><Relationship Id="rId57" Type="http://schemas.openxmlformats.org/officeDocument/2006/relationships/ctrlProp" Target="../ctrlProps/ctrlProp119.xml"/><Relationship Id="rId10" Type="http://schemas.openxmlformats.org/officeDocument/2006/relationships/ctrlProp" Target="../ctrlProps/ctrlProp72.xml"/><Relationship Id="rId31" Type="http://schemas.openxmlformats.org/officeDocument/2006/relationships/ctrlProp" Target="../ctrlProps/ctrlProp93.xml"/><Relationship Id="rId44" Type="http://schemas.openxmlformats.org/officeDocument/2006/relationships/ctrlProp" Target="../ctrlProps/ctrlProp106.xml"/><Relationship Id="rId52" Type="http://schemas.openxmlformats.org/officeDocument/2006/relationships/ctrlProp" Target="../ctrlProps/ctrlProp114.xml"/><Relationship Id="rId60" Type="http://schemas.openxmlformats.org/officeDocument/2006/relationships/ctrlProp" Target="../ctrlProps/ctrlProp122.xml"/><Relationship Id="rId65" Type="http://schemas.openxmlformats.org/officeDocument/2006/relationships/ctrlProp" Target="../ctrlProps/ctrlProp127.xml"/><Relationship Id="rId73" Type="http://schemas.openxmlformats.org/officeDocument/2006/relationships/ctrlProp" Target="../ctrlProps/ctrlProp135.xml"/><Relationship Id="rId78" Type="http://schemas.openxmlformats.org/officeDocument/2006/relationships/ctrlProp" Target="../ctrlProps/ctrlProp140.xml"/><Relationship Id="rId81" Type="http://schemas.openxmlformats.org/officeDocument/2006/relationships/ctrlProp" Target="../ctrlProps/ctrlProp143.xml"/><Relationship Id="rId86" Type="http://schemas.openxmlformats.org/officeDocument/2006/relationships/ctrlProp" Target="../ctrlProps/ctrlProp148.xml"/><Relationship Id="rId94" Type="http://schemas.openxmlformats.org/officeDocument/2006/relationships/ctrlProp" Target="../ctrlProps/ctrlProp156.xml"/><Relationship Id="rId4" Type="http://schemas.openxmlformats.org/officeDocument/2006/relationships/ctrlProp" Target="../ctrlProps/ctrlProp66.xml"/><Relationship Id="rId9" Type="http://schemas.openxmlformats.org/officeDocument/2006/relationships/ctrlProp" Target="../ctrlProps/ctrlProp71.xml"/><Relationship Id="rId13" Type="http://schemas.openxmlformats.org/officeDocument/2006/relationships/ctrlProp" Target="../ctrlProps/ctrlProp75.xml"/><Relationship Id="rId18" Type="http://schemas.openxmlformats.org/officeDocument/2006/relationships/ctrlProp" Target="../ctrlProps/ctrlProp80.xml"/><Relationship Id="rId39" Type="http://schemas.openxmlformats.org/officeDocument/2006/relationships/ctrlProp" Target="../ctrlProps/ctrlProp101.xml"/><Relationship Id="rId34" Type="http://schemas.openxmlformats.org/officeDocument/2006/relationships/ctrlProp" Target="../ctrlProps/ctrlProp96.xml"/><Relationship Id="rId50" Type="http://schemas.openxmlformats.org/officeDocument/2006/relationships/ctrlProp" Target="../ctrlProps/ctrlProp112.xml"/><Relationship Id="rId55" Type="http://schemas.openxmlformats.org/officeDocument/2006/relationships/ctrlProp" Target="../ctrlProps/ctrlProp117.xml"/><Relationship Id="rId76" Type="http://schemas.openxmlformats.org/officeDocument/2006/relationships/ctrlProp" Target="../ctrlProps/ctrlProp138.xml"/><Relationship Id="rId97" Type="http://schemas.openxmlformats.org/officeDocument/2006/relationships/ctrlProp" Target="../ctrlProps/ctrlProp159.xml"/><Relationship Id="rId7" Type="http://schemas.openxmlformats.org/officeDocument/2006/relationships/ctrlProp" Target="../ctrlProps/ctrlProp69.xml"/><Relationship Id="rId71" Type="http://schemas.openxmlformats.org/officeDocument/2006/relationships/ctrlProp" Target="../ctrlProps/ctrlProp133.xml"/><Relationship Id="rId92" Type="http://schemas.openxmlformats.org/officeDocument/2006/relationships/ctrlProp" Target="../ctrlProps/ctrlProp154.xml"/><Relationship Id="rId2" Type="http://schemas.openxmlformats.org/officeDocument/2006/relationships/drawing" Target="../drawings/drawing2.xml"/><Relationship Id="rId29" Type="http://schemas.openxmlformats.org/officeDocument/2006/relationships/ctrlProp" Target="../ctrlProps/ctrlProp91.xml"/><Relationship Id="rId24" Type="http://schemas.openxmlformats.org/officeDocument/2006/relationships/ctrlProp" Target="../ctrlProps/ctrlProp86.xml"/><Relationship Id="rId40" Type="http://schemas.openxmlformats.org/officeDocument/2006/relationships/ctrlProp" Target="../ctrlProps/ctrlProp102.xml"/><Relationship Id="rId45" Type="http://schemas.openxmlformats.org/officeDocument/2006/relationships/ctrlProp" Target="../ctrlProps/ctrlProp107.xml"/><Relationship Id="rId66" Type="http://schemas.openxmlformats.org/officeDocument/2006/relationships/ctrlProp" Target="../ctrlProps/ctrlProp128.xml"/><Relationship Id="rId87" Type="http://schemas.openxmlformats.org/officeDocument/2006/relationships/ctrlProp" Target="../ctrlProps/ctrlProp149.xml"/><Relationship Id="rId61" Type="http://schemas.openxmlformats.org/officeDocument/2006/relationships/ctrlProp" Target="../ctrlProps/ctrlProp123.xml"/><Relationship Id="rId82" Type="http://schemas.openxmlformats.org/officeDocument/2006/relationships/ctrlProp" Target="../ctrlProps/ctrlProp144.xml"/><Relationship Id="rId19" Type="http://schemas.openxmlformats.org/officeDocument/2006/relationships/ctrlProp" Target="../ctrlProps/ctrlProp81.xml"/><Relationship Id="rId14" Type="http://schemas.openxmlformats.org/officeDocument/2006/relationships/ctrlProp" Target="../ctrlProps/ctrlProp76.xml"/><Relationship Id="rId30" Type="http://schemas.openxmlformats.org/officeDocument/2006/relationships/ctrlProp" Target="../ctrlProps/ctrlProp92.xml"/><Relationship Id="rId35" Type="http://schemas.openxmlformats.org/officeDocument/2006/relationships/ctrlProp" Target="../ctrlProps/ctrlProp97.xml"/><Relationship Id="rId56" Type="http://schemas.openxmlformats.org/officeDocument/2006/relationships/ctrlProp" Target="../ctrlProps/ctrlProp118.xml"/><Relationship Id="rId77" Type="http://schemas.openxmlformats.org/officeDocument/2006/relationships/ctrlProp" Target="../ctrlProps/ctrlProp139.xml"/><Relationship Id="rId8" Type="http://schemas.openxmlformats.org/officeDocument/2006/relationships/ctrlProp" Target="../ctrlProps/ctrlProp70.xml"/><Relationship Id="rId51" Type="http://schemas.openxmlformats.org/officeDocument/2006/relationships/ctrlProp" Target="../ctrlProps/ctrlProp113.xml"/><Relationship Id="rId72" Type="http://schemas.openxmlformats.org/officeDocument/2006/relationships/ctrlProp" Target="../ctrlProps/ctrlProp134.xml"/><Relationship Id="rId93" Type="http://schemas.openxmlformats.org/officeDocument/2006/relationships/ctrlProp" Target="../ctrlProps/ctrlProp155.xml"/><Relationship Id="rId9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83.xml"/><Relationship Id="rId21" Type="http://schemas.openxmlformats.org/officeDocument/2006/relationships/ctrlProp" Target="../ctrlProps/ctrlProp178.xml"/><Relationship Id="rId42" Type="http://schemas.openxmlformats.org/officeDocument/2006/relationships/ctrlProp" Target="../ctrlProps/ctrlProp199.xml"/><Relationship Id="rId47" Type="http://schemas.openxmlformats.org/officeDocument/2006/relationships/ctrlProp" Target="../ctrlProps/ctrlProp204.xml"/><Relationship Id="rId63" Type="http://schemas.openxmlformats.org/officeDocument/2006/relationships/ctrlProp" Target="../ctrlProps/ctrlProp220.xml"/><Relationship Id="rId68" Type="http://schemas.openxmlformats.org/officeDocument/2006/relationships/ctrlProp" Target="../ctrlProps/ctrlProp225.xml"/><Relationship Id="rId84" Type="http://schemas.openxmlformats.org/officeDocument/2006/relationships/ctrlProp" Target="../ctrlProps/ctrlProp241.xml"/><Relationship Id="rId89" Type="http://schemas.openxmlformats.org/officeDocument/2006/relationships/ctrlProp" Target="../ctrlProps/ctrlProp246.xml"/><Relationship Id="rId16" Type="http://schemas.openxmlformats.org/officeDocument/2006/relationships/ctrlProp" Target="../ctrlProps/ctrlProp173.xml"/><Relationship Id="rId11" Type="http://schemas.openxmlformats.org/officeDocument/2006/relationships/ctrlProp" Target="../ctrlProps/ctrlProp168.xml"/><Relationship Id="rId32" Type="http://schemas.openxmlformats.org/officeDocument/2006/relationships/ctrlProp" Target="../ctrlProps/ctrlProp189.xml"/><Relationship Id="rId37" Type="http://schemas.openxmlformats.org/officeDocument/2006/relationships/ctrlProp" Target="../ctrlProps/ctrlProp194.xml"/><Relationship Id="rId53" Type="http://schemas.openxmlformats.org/officeDocument/2006/relationships/ctrlProp" Target="../ctrlProps/ctrlProp210.xml"/><Relationship Id="rId58" Type="http://schemas.openxmlformats.org/officeDocument/2006/relationships/ctrlProp" Target="../ctrlProps/ctrlProp215.xml"/><Relationship Id="rId74" Type="http://schemas.openxmlformats.org/officeDocument/2006/relationships/ctrlProp" Target="../ctrlProps/ctrlProp231.xml"/><Relationship Id="rId79" Type="http://schemas.openxmlformats.org/officeDocument/2006/relationships/ctrlProp" Target="../ctrlProps/ctrlProp236.xml"/><Relationship Id="rId5" Type="http://schemas.openxmlformats.org/officeDocument/2006/relationships/ctrlProp" Target="../ctrlProps/ctrlProp162.xml"/><Relationship Id="rId90" Type="http://schemas.openxmlformats.org/officeDocument/2006/relationships/ctrlProp" Target="../ctrlProps/ctrlProp247.xml"/><Relationship Id="rId14" Type="http://schemas.openxmlformats.org/officeDocument/2006/relationships/ctrlProp" Target="../ctrlProps/ctrlProp171.xml"/><Relationship Id="rId22" Type="http://schemas.openxmlformats.org/officeDocument/2006/relationships/ctrlProp" Target="../ctrlProps/ctrlProp179.xml"/><Relationship Id="rId27" Type="http://schemas.openxmlformats.org/officeDocument/2006/relationships/ctrlProp" Target="../ctrlProps/ctrlProp184.xml"/><Relationship Id="rId30" Type="http://schemas.openxmlformats.org/officeDocument/2006/relationships/ctrlProp" Target="../ctrlProps/ctrlProp187.xml"/><Relationship Id="rId35" Type="http://schemas.openxmlformats.org/officeDocument/2006/relationships/ctrlProp" Target="../ctrlProps/ctrlProp192.xml"/><Relationship Id="rId43" Type="http://schemas.openxmlformats.org/officeDocument/2006/relationships/ctrlProp" Target="../ctrlProps/ctrlProp200.xml"/><Relationship Id="rId48" Type="http://schemas.openxmlformats.org/officeDocument/2006/relationships/ctrlProp" Target="../ctrlProps/ctrlProp205.xml"/><Relationship Id="rId56" Type="http://schemas.openxmlformats.org/officeDocument/2006/relationships/ctrlProp" Target="../ctrlProps/ctrlProp213.xml"/><Relationship Id="rId64" Type="http://schemas.openxmlformats.org/officeDocument/2006/relationships/ctrlProp" Target="../ctrlProps/ctrlProp221.xml"/><Relationship Id="rId69" Type="http://schemas.openxmlformats.org/officeDocument/2006/relationships/ctrlProp" Target="../ctrlProps/ctrlProp226.xml"/><Relationship Id="rId77" Type="http://schemas.openxmlformats.org/officeDocument/2006/relationships/ctrlProp" Target="../ctrlProps/ctrlProp234.xml"/><Relationship Id="rId8" Type="http://schemas.openxmlformats.org/officeDocument/2006/relationships/ctrlProp" Target="../ctrlProps/ctrlProp165.xml"/><Relationship Id="rId51" Type="http://schemas.openxmlformats.org/officeDocument/2006/relationships/ctrlProp" Target="../ctrlProps/ctrlProp208.xml"/><Relationship Id="rId72" Type="http://schemas.openxmlformats.org/officeDocument/2006/relationships/ctrlProp" Target="../ctrlProps/ctrlProp229.xml"/><Relationship Id="rId80" Type="http://schemas.openxmlformats.org/officeDocument/2006/relationships/ctrlProp" Target="../ctrlProps/ctrlProp237.xml"/><Relationship Id="rId85" Type="http://schemas.openxmlformats.org/officeDocument/2006/relationships/ctrlProp" Target="../ctrlProps/ctrlProp242.xml"/><Relationship Id="rId3" Type="http://schemas.openxmlformats.org/officeDocument/2006/relationships/ctrlProp" Target="../ctrlProps/ctrlProp160.xml"/><Relationship Id="rId12" Type="http://schemas.openxmlformats.org/officeDocument/2006/relationships/ctrlProp" Target="../ctrlProps/ctrlProp169.xml"/><Relationship Id="rId17" Type="http://schemas.openxmlformats.org/officeDocument/2006/relationships/ctrlProp" Target="../ctrlProps/ctrlProp174.xml"/><Relationship Id="rId25" Type="http://schemas.openxmlformats.org/officeDocument/2006/relationships/ctrlProp" Target="../ctrlProps/ctrlProp182.xml"/><Relationship Id="rId33" Type="http://schemas.openxmlformats.org/officeDocument/2006/relationships/ctrlProp" Target="../ctrlProps/ctrlProp190.xml"/><Relationship Id="rId38" Type="http://schemas.openxmlformats.org/officeDocument/2006/relationships/ctrlProp" Target="../ctrlProps/ctrlProp195.xml"/><Relationship Id="rId46" Type="http://schemas.openxmlformats.org/officeDocument/2006/relationships/ctrlProp" Target="../ctrlProps/ctrlProp203.xml"/><Relationship Id="rId59" Type="http://schemas.openxmlformats.org/officeDocument/2006/relationships/ctrlProp" Target="../ctrlProps/ctrlProp216.xml"/><Relationship Id="rId67" Type="http://schemas.openxmlformats.org/officeDocument/2006/relationships/ctrlProp" Target="../ctrlProps/ctrlProp224.xml"/><Relationship Id="rId20" Type="http://schemas.openxmlformats.org/officeDocument/2006/relationships/ctrlProp" Target="../ctrlProps/ctrlProp177.xml"/><Relationship Id="rId41" Type="http://schemas.openxmlformats.org/officeDocument/2006/relationships/ctrlProp" Target="../ctrlProps/ctrlProp198.xml"/><Relationship Id="rId54" Type="http://schemas.openxmlformats.org/officeDocument/2006/relationships/ctrlProp" Target="../ctrlProps/ctrlProp211.xml"/><Relationship Id="rId62" Type="http://schemas.openxmlformats.org/officeDocument/2006/relationships/ctrlProp" Target="../ctrlProps/ctrlProp219.xml"/><Relationship Id="rId70" Type="http://schemas.openxmlformats.org/officeDocument/2006/relationships/ctrlProp" Target="../ctrlProps/ctrlProp227.xml"/><Relationship Id="rId75" Type="http://schemas.openxmlformats.org/officeDocument/2006/relationships/ctrlProp" Target="../ctrlProps/ctrlProp232.xml"/><Relationship Id="rId83" Type="http://schemas.openxmlformats.org/officeDocument/2006/relationships/ctrlProp" Target="../ctrlProps/ctrlProp240.xml"/><Relationship Id="rId88" Type="http://schemas.openxmlformats.org/officeDocument/2006/relationships/ctrlProp" Target="../ctrlProps/ctrlProp245.xml"/><Relationship Id="rId91" Type="http://schemas.openxmlformats.org/officeDocument/2006/relationships/ctrlProp" Target="../ctrlProps/ctrlProp248.xml"/><Relationship Id="rId1" Type="http://schemas.openxmlformats.org/officeDocument/2006/relationships/drawing" Target="../drawings/drawing3.xml"/><Relationship Id="rId6" Type="http://schemas.openxmlformats.org/officeDocument/2006/relationships/ctrlProp" Target="../ctrlProps/ctrlProp163.xml"/><Relationship Id="rId15" Type="http://schemas.openxmlformats.org/officeDocument/2006/relationships/ctrlProp" Target="../ctrlProps/ctrlProp172.xml"/><Relationship Id="rId23" Type="http://schemas.openxmlformats.org/officeDocument/2006/relationships/ctrlProp" Target="../ctrlProps/ctrlProp180.xml"/><Relationship Id="rId28" Type="http://schemas.openxmlformats.org/officeDocument/2006/relationships/ctrlProp" Target="../ctrlProps/ctrlProp185.xml"/><Relationship Id="rId36" Type="http://schemas.openxmlformats.org/officeDocument/2006/relationships/ctrlProp" Target="../ctrlProps/ctrlProp193.xml"/><Relationship Id="rId49" Type="http://schemas.openxmlformats.org/officeDocument/2006/relationships/ctrlProp" Target="../ctrlProps/ctrlProp206.xml"/><Relationship Id="rId57" Type="http://schemas.openxmlformats.org/officeDocument/2006/relationships/ctrlProp" Target="../ctrlProps/ctrlProp214.xml"/><Relationship Id="rId10" Type="http://schemas.openxmlformats.org/officeDocument/2006/relationships/ctrlProp" Target="../ctrlProps/ctrlProp167.xml"/><Relationship Id="rId31" Type="http://schemas.openxmlformats.org/officeDocument/2006/relationships/ctrlProp" Target="../ctrlProps/ctrlProp188.xml"/><Relationship Id="rId44" Type="http://schemas.openxmlformats.org/officeDocument/2006/relationships/ctrlProp" Target="../ctrlProps/ctrlProp201.xml"/><Relationship Id="rId52" Type="http://schemas.openxmlformats.org/officeDocument/2006/relationships/ctrlProp" Target="../ctrlProps/ctrlProp209.xml"/><Relationship Id="rId60" Type="http://schemas.openxmlformats.org/officeDocument/2006/relationships/ctrlProp" Target="../ctrlProps/ctrlProp217.xml"/><Relationship Id="rId65" Type="http://schemas.openxmlformats.org/officeDocument/2006/relationships/ctrlProp" Target="../ctrlProps/ctrlProp222.xml"/><Relationship Id="rId73" Type="http://schemas.openxmlformats.org/officeDocument/2006/relationships/ctrlProp" Target="../ctrlProps/ctrlProp230.xml"/><Relationship Id="rId78" Type="http://schemas.openxmlformats.org/officeDocument/2006/relationships/ctrlProp" Target="../ctrlProps/ctrlProp235.xml"/><Relationship Id="rId81" Type="http://schemas.openxmlformats.org/officeDocument/2006/relationships/ctrlProp" Target="../ctrlProps/ctrlProp238.xml"/><Relationship Id="rId86" Type="http://schemas.openxmlformats.org/officeDocument/2006/relationships/ctrlProp" Target="../ctrlProps/ctrlProp243.xml"/><Relationship Id="rId4" Type="http://schemas.openxmlformats.org/officeDocument/2006/relationships/ctrlProp" Target="../ctrlProps/ctrlProp161.xml"/><Relationship Id="rId9" Type="http://schemas.openxmlformats.org/officeDocument/2006/relationships/ctrlProp" Target="../ctrlProps/ctrlProp166.xml"/><Relationship Id="rId13" Type="http://schemas.openxmlformats.org/officeDocument/2006/relationships/ctrlProp" Target="../ctrlProps/ctrlProp170.xml"/><Relationship Id="rId18" Type="http://schemas.openxmlformats.org/officeDocument/2006/relationships/ctrlProp" Target="../ctrlProps/ctrlProp175.xml"/><Relationship Id="rId39" Type="http://schemas.openxmlformats.org/officeDocument/2006/relationships/ctrlProp" Target="../ctrlProps/ctrlProp196.xml"/><Relationship Id="rId34" Type="http://schemas.openxmlformats.org/officeDocument/2006/relationships/ctrlProp" Target="../ctrlProps/ctrlProp191.xml"/><Relationship Id="rId50" Type="http://schemas.openxmlformats.org/officeDocument/2006/relationships/ctrlProp" Target="../ctrlProps/ctrlProp207.xml"/><Relationship Id="rId55" Type="http://schemas.openxmlformats.org/officeDocument/2006/relationships/ctrlProp" Target="../ctrlProps/ctrlProp212.xml"/><Relationship Id="rId76" Type="http://schemas.openxmlformats.org/officeDocument/2006/relationships/ctrlProp" Target="../ctrlProps/ctrlProp233.xml"/><Relationship Id="rId7" Type="http://schemas.openxmlformats.org/officeDocument/2006/relationships/ctrlProp" Target="../ctrlProps/ctrlProp164.xml"/><Relationship Id="rId71" Type="http://schemas.openxmlformats.org/officeDocument/2006/relationships/ctrlProp" Target="../ctrlProps/ctrlProp228.xml"/><Relationship Id="rId92" Type="http://schemas.openxmlformats.org/officeDocument/2006/relationships/ctrlProp" Target="../ctrlProps/ctrlProp249.xml"/><Relationship Id="rId2" Type="http://schemas.openxmlformats.org/officeDocument/2006/relationships/vmlDrawing" Target="../drawings/vmlDrawing3.vml"/><Relationship Id="rId29" Type="http://schemas.openxmlformats.org/officeDocument/2006/relationships/ctrlProp" Target="../ctrlProps/ctrlProp186.xml"/><Relationship Id="rId24" Type="http://schemas.openxmlformats.org/officeDocument/2006/relationships/ctrlProp" Target="../ctrlProps/ctrlProp181.xml"/><Relationship Id="rId40" Type="http://schemas.openxmlformats.org/officeDocument/2006/relationships/ctrlProp" Target="../ctrlProps/ctrlProp197.xml"/><Relationship Id="rId45" Type="http://schemas.openxmlformats.org/officeDocument/2006/relationships/ctrlProp" Target="../ctrlProps/ctrlProp202.xml"/><Relationship Id="rId66" Type="http://schemas.openxmlformats.org/officeDocument/2006/relationships/ctrlProp" Target="../ctrlProps/ctrlProp223.xml"/><Relationship Id="rId87" Type="http://schemas.openxmlformats.org/officeDocument/2006/relationships/ctrlProp" Target="../ctrlProps/ctrlProp244.xml"/><Relationship Id="rId61" Type="http://schemas.openxmlformats.org/officeDocument/2006/relationships/ctrlProp" Target="../ctrlProps/ctrlProp218.xml"/><Relationship Id="rId82" Type="http://schemas.openxmlformats.org/officeDocument/2006/relationships/ctrlProp" Target="../ctrlProps/ctrlProp239.xml"/><Relationship Id="rId19" Type="http://schemas.openxmlformats.org/officeDocument/2006/relationships/ctrlProp" Target="../ctrlProps/ctrlProp17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72.xml"/><Relationship Id="rId21" Type="http://schemas.openxmlformats.org/officeDocument/2006/relationships/ctrlProp" Target="../ctrlProps/ctrlProp267.xml"/><Relationship Id="rId42" Type="http://schemas.openxmlformats.org/officeDocument/2006/relationships/ctrlProp" Target="../ctrlProps/ctrlProp288.xml"/><Relationship Id="rId47" Type="http://schemas.openxmlformats.org/officeDocument/2006/relationships/ctrlProp" Target="../ctrlProps/ctrlProp293.xml"/><Relationship Id="rId63" Type="http://schemas.openxmlformats.org/officeDocument/2006/relationships/ctrlProp" Target="../ctrlProps/ctrlProp309.xml"/><Relationship Id="rId68" Type="http://schemas.openxmlformats.org/officeDocument/2006/relationships/ctrlProp" Target="../ctrlProps/ctrlProp314.xml"/><Relationship Id="rId84" Type="http://schemas.openxmlformats.org/officeDocument/2006/relationships/ctrlProp" Target="../ctrlProps/ctrlProp330.xml"/><Relationship Id="rId89" Type="http://schemas.openxmlformats.org/officeDocument/2006/relationships/ctrlProp" Target="../ctrlProps/ctrlProp335.xml"/><Relationship Id="rId112" Type="http://schemas.openxmlformats.org/officeDocument/2006/relationships/ctrlProp" Target="../ctrlProps/ctrlProp358.xml"/><Relationship Id="rId16" Type="http://schemas.openxmlformats.org/officeDocument/2006/relationships/ctrlProp" Target="../ctrlProps/ctrlProp262.xml"/><Relationship Id="rId107" Type="http://schemas.openxmlformats.org/officeDocument/2006/relationships/ctrlProp" Target="../ctrlProps/ctrlProp353.xml"/><Relationship Id="rId11" Type="http://schemas.openxmlformats.org/officeDocument/2006/relationships/ctrlProp" Target="../ctrlProps/ctrlProp257.xml"/><Relationship Id="rId32" Type="http://schemas.openxmlformats.org/officeDocument/2006/relationships/ctrlProp" Target="../ctrlProps/ctrlProp278.xml"/><Relationship Id="rId37" Type="http://schemas.openxmlformats.org/officeDocument/2006/relationships/ctrlProp" Target="../ctrlProps/ctrlProp283.xml"/><Relationship Id="rId53" Type="http://schemas.openxmlformats.org/officeDocument/2006/relationships/ctrlProp" Target="../ctrlProps/ctrlProp299.xml"/><Relationship Id="rId58" Type="http://schemas.openxmlformats.org/officeDocument/2006/relationships/ctrlProp" Target="../ctrlProps/ctrlProp304.xml"/><Relationship Id="rId74" Type="http://schemas.openxmlformats.org/officeDocument/2006/relationships/ctrlProp" Target="../ctrlProps/ctrlProp320.xml"/><Relationship Id="rId79" Type="http://schemas.openxmlformats.org/officeDocument/2006/relationships/ctrlProp" Target="../ctrlProps/ctrlProp325.xml"/><Relationship Id="rId102" Type="http://schemas.openxmlformats.org/officeDocument/2006/relationships/ctrlProp" Target="../ctrlProps/ctrlProp348.xml"/><Relationship Id="rId5" Type="http://schemas.openxmlformats.org/officeDocument/2006/relationships/ctrlProp" Target="../ctrlProps/ctrlProp251.xml"/><Relationship Id="rId90" Type="http://schemas.openxmlformats.org/officeDocument/2006/relationships/ctrlProp" Target="../ctrlProps/ctrlProp336.xml"/><Relationship Id="rId95" Type="http://schemas.openxmlformats.org/officeDocument/2006/relationships/ctrlProp" Target="../ctrlProps/ctrlProp341.xml"/><Relationship Id="rId22" Type="http://schemas.openxmlformats.org/officeDocument/2006/relationships/ctrlProp" Target="../ctrlProps/ctrlProp268.xml"/><Relationship Id="rId27" Type="http://schemas.openxmlformats.org/officeDocument/2006/relationships/ctrlProp" Target="../ctrlProps/ctrlProp273.xml"/><Relationship Id="rId43" Type="http://schemas.openxmlformats.org/officeDocument/2006/relationships/ctrlProp" Target="../ctrlProps/ctrlProp289.xml"/><Relationship Id="rId48" Type="http://schemas.openxmlformats.org/officeDocument/2006/relationships/ctrlProp" Target="../ctrlProps/ctrlProp294.xml"/><Relationship Id="rId64" Type="http://schemas.openxmlformats.org/officeDocument/2006/relationships/ctrlProp" Target="../ctrlProps/ctrlProp310.xml"/><Relationship Id="rId69" Type="http://schemas.openxmlformats.org/officeDocument/2006/relationships/ctrlProp" Target="../ctrlProps/ctrlProp315.xml"/><Relationship Id="rId113" Type="http://schemas.openxmlformats.org/officeDocument/2006/relationships/ctrlProp" Target="../ctrlProps/ctrlProp359.xml"/><Relationship Id="rId80" Type="http://schemas.openxmlformats.org/officeDocument/2006/relationships/ctrlProp" Target="../ctrlProps/ctrlProp326.xml"/><Relationship Id="rId85" Type="http://schemas.openxmlformats.org/officeDocument/2006/relationships/ctrlProp" Target="../ctrlProps/ctrlProp331.xml"/><Relationship Id="rId12" Type="http://schemas.openxmlformats.org/officeDocument/2006/relationships/ctrlProp" Target="../ctrlProps/ctrlProp258.xml"/><Relationship Id="rId17" Type="http://schemas.openxmlformats.org/officeDocument/2006/relationships/ctrlProp" Target="../ctrlProps/ctrlProp263.xml"/><Relationship Id="rId33" Type="http://schemas.openxmlformats.org/officeDocument/2006/relationships/ctrlProp" Target="../ctrlProps/ctrlProp279.xml"/><Relationship Id="rId38" Type="http://schemas.openxmlformats.org/officeDocument/2006/relationships/ctrlProp" Target="../ctrlProps/ctrlProp284.xml"/><Relationship Id="rId59" Type="http://schemas.openxmlformats.org/officeDocument/2006/relationships/ctrlProp" Target="../ctrlProps/ctrlProp305.xml"/><Relationship Id="rId103" Type="http://schemas.openxmlformats.org/officeDocument/2006/relationships/ctrlProp" Target="../ctrlProps/ctrlProp349.xml"/><Relationship Id="rId108" Type="http://schemas.openxmlformats.org/officeDocument/2006/relationships/ctrlProp" Target="../ctrlProps/ctrlProp354.xml"/><Relationship Id="rId54" Type="http://schemas.openxmlformats.org/officeDocument/2006/relationships/ctrlProp" Target="../ctrlProps/ctrlProp300.xml"/><Relationship Id="rId70" Type="http://schemas.openxmlformats.org/officeDocument/2006/relationships/ctrlProp" Target="../ctrlProps/ctrlProp316.xml"/><Relationship Id="rId75" Type="http://schemas.openxmlformats.org/officeDocument/2006/relationships/ctrlProp" Target="../ctrlProps/ctrlProp321.xml"/><Relationship Id="rId91" Type="http://schemas.openxmlformats.org/officeDocument/2006/relationships/ctrlProp" Target="../ctrlProps/ctrlProp337.xml"/><Relationship Id="rId96" Type="http://schemas.openxmlformats.org/officeDocument/2006/relationships/ctrlProp" Target="../ctrlProps/ctrlProp342.xml"/><Relationship Id="rId1" Type="http://schemas.openxmlformats.org/officeDocument/2006/relationships/printerSettings" Target="../printerSettings/printerSettings3.bin"/><Relationship Id="rId6" Type="http://schemas.openxmlformats.org/officeDocument/2006/relationships/ctrlProp" Target="../ctrlProps/ctrlProp252.xml"/><Relationship Id="rId15" Type="http://schemas.openxmlformats.org/officeDocument/2006/relationships/ctrlProp" Target="../ctrlProps/ctrlProp261.xml"/><Relationship Id="rId23" Type="http://schemas.openxmlformats.org/officeDocument/2006/relationships/ctrlProp" Target="../ctrlProps/ctrlProp269.xml"/><Relationship Id="rId28" Type="http://schemas.openxmlformats.org/officeDocument/2006/relationships/ctrlProp" Target="../ctrlProps/ctrlProp274.xml"/><Relationship Id="rId36" Type="http://schemas.openxmlformats.org/officeDocument/2006/relationships/ctrlProp" Target="../ctrlProps/ctrlProp282.xml"/><Relationship Id="rId49" Type="http://schemas.openxmlformats.org/officeDocument/2006/relationships/ctrlProp" Target="../ctrlProps/ctrlProp295.xml"/><Relationship Id="rId57" Type="http://schemas.openxmlformats.org/officeDocument/2006/relationships/ctrlProp" Target="../ctrlProps/ctrlProp303.xml"/><Relationship Id="rId106" Type="http://schemas.openxmlformats.org/officeDocument/2006/relationships/ctrlProp" Target="../ctrlProps/ctrlProp352.xml"/><Relationship Id="rId114" Type="http://schemas.openxmlformats.org/officeDocument/2006/relationships/comments" Target="../comments3.xml"/><Relationship Id="rId10" Type="http://schemas.openxmlformats.org/officeDocument/2006/relationships/ctrlProp" Target="../ctrlProps/ctrlProp256.xml"/><Relationship Id="rId31" Type="http://schemas.openxmlformats.org/officeDocument/2006/relationships/ctrlProp" Target="../ctrlProps/ctrlProp277.xml"/><Relationship Id="rId44" Type="http://schemas.openxmlformats.org/officeDocument/2006/relationships/ctrlProp" Target="../ctrlProps/ctrlProp290.xml"/><Relationship Id="rId52" Type="http://schemas.openxmlformats.org/officeDocument/2006/relationships/ctrlProp" Target="../ctrlProps/ctrlProp298.xml"/><Relationship Id="rId60" Type="http://schemas.openxmlformats.org/officeDocument/2006/relationships/ctrlProp" Target="../ctrlProps/ctrlProp306.xml"/><Relationship Id="rId65" Type="http://schemas.openxmlformats.org/officeDocument/2006/relationships/ctrlProp" Target="../ctrlProps/ctrlProp311.xml"/><Relationship Id="rId73" Type="http://schemas.openxmlformats.org/officeDocument/2006/relationships/ctrlProp" Target="../ctrlProps/ctrlProp319.xml"/><Relationship Id="rId78" Type="http://schemas.openxmlformats.org/officeDocument/2006/relationships/ctrlProp" Target="../ctrlProps/ctrlProp324.xml"/><Relationship Id="rId81" Type="http://schemas.openxmlformats.org/officeDocument/2006/relationships/ctrlProp" Target="../ctrlProps/ctrlProp327.xml"/><Relationship Id="rId86" Type="http://schemas.openxmlformats.org/officeDocument/2006/relationships/ctrlProp" Target="../ctrlProps/ctrlProp332.xml"/><Relationship Id="rId94" Type="http://schemas.openxmlformats.org/officeDocument/2006/relationships/ctrlProp" Target="../ctrlProps/ctrlProp340.xml"/><Relationship Id="rId99" Type="http://schemas.openxmlformats.org/officeDocument/2006/relationships/ctrlProp" Target="../ctrlProps/ctrlProp345.xml"/><Relationship Id="rId101" Type="http://schemas.openxmlformats.org/officeDocument/2006/relationships/ctrlProp" Target="../ctrlProps/ctrlProp347.xml"/><Relationship Id="rId4" Type="http://schemas.openxmlformats.org/officeDocument/2006/relationships/ctrlProp" Target="../ctrlProps/ctrlProp250.xml"/><Relationship Id="rId9" Type="http://schemas.openxmlformats.org/officeDocument/2006/relationships/ctrlProp" Target="../ctrlProps/ctrlProp255.xml"/><Relationship Id="rId13" Type="http://schemas.openxmlformats.org/officeDocument/2006/relationships/ctrlProp" Target="../ctrlProps/ctrlProp259.xml"/><Relationship Id="rId18" Type="http://schemas.openxmlformats.org/officeDocument/2006/relationships/ctrlProp" Target="../ctrlProps/ctrlProp264.xml"/><Relationship Id="rId39" Type="http://schemas.openxmlformats.org/officeDocument/2006/relationships/ctrlProp" Target="../ctrlProps/ctrlProp285.xml"/><Relationship Id="rId109" Type="http://schemas.openxmlformats.org/officeDocument/2006/relationships/ctrlProp" Target="../ctrlProps/ctrlProp355.xml"/><Relationship Id="rId34" Type="http://schemas.openxmlformats.org/officeDocument/2006/relationships/ctrlProp" Target="../ctrlProps/ctrlProp280.xml"/><Relationship Id="rId50" Type="http://schemas.openxmlformats.org/officeDocument/2006/relationships/ctrlProp" Target="../ctrlProps/ctrlProp296.xml"/><Relationship Id="rId55" Type="http://schemas.openxmlformats.org/officeDocument/2006/relationships/ctrlProp" Target="../ctrlProps/ctrlProp301.xml"/><Relationship Id="rId76" Type="http://schemas.openxmlformats.org/officeDocument/2006/relationships/ctrlProp" Target="../ctrlProps/ctrlProp322.xml"/><Relationship Id="rId97" Type="http://schemas.openxmlformats.org/officeDocument/2006/relationships/ctrlProp" Target="../ctrlProps/ctrlProp343.xml"/><Relationship Id="rId104" Type="http://schemas.openxmlformats.org/officeDocument/2006/relationships/ctrlProp" Target="../ctrlProps/ctrlProp350.xml"/><Relationship Id="rId7" Type="http://schemas.openxmlformats.org/officeDocument/2006/relationships/ctrlProp" Target="../ctrlProps/ctrlProp253.xml"/><Relationship Id="rId71" Type="http://schemas.openxmlformats.org/officeDocument/2006/relationships/ctrlProp" Target="../ctrlProps/ctrlProp317.xml"/><Relationship Id="rId92" Type="http://schemas.openxmlformats.org/officeDocument/2006/relationships/ctrlProp" Target="../ctrlProps/ctrlProp338.xml"/><Relationship Id="rId2" Type="http://schemas.openxmlformats.org/officeDocument/2006/relationships/drawing" Target="../drawings/drawing4.xml"/><Relationship Id="rId29" Type="http://schemas.openxmlformats.org/officeDocument/2006/relationships/ctrlProp" Target="../ctrlProps/ctrlProp275.xml"/><Relationship Id="rId24" Type="http://schemas.openxmlformats.org/officeDocument/2006/relationships/ctrlProp" Target="../ctrlProps/ctrlProp270.xml"/><Relationship Id="rId40" Type="http://schemas.openxmlformats.org/officeDocument/2006/relationships/ctrlProp" Target="../ctrlProps/ctrlProp286.xml"/><Relationship Id="rId45" Type="http://schemas.openxmlformats.org/officeDocument/2006/relationships/ctrlProp" Target="../ctrlProps/ctrlProp291.xml"/><Relationship Id="rId66" Type="http://schemas.openxmlformats.org/officeDocument/2006/relationships/ctrlProp" Target="../ctrlProps/ctrlProp312.xml"/><Relationship Id="rId87" Type="http://schemas.openxmlformats.org/officeDocument/2006/relationships/ctrlProp" Target="../ctrlProps/ctrlProp333.xml"/><Relationship Id="rId110" Type="http://schemas.openxmlformats.org/officeDocument/2006/relationships/ctrlProp" Target="../ctrlProps/ctrlProp356.xml"/><Relationship Id="rId61" Type="http://schemas.openxmlformats.org/officeDocument/2006/relationships/ctrlProp" Target="../ctrlProps/ctrlProp307.xml"/><Relationship Id="rId82" Type="http://schemas.openxmlformats.org/officeDocument/2006/relationships/ctrlProp" Target="../ctrlProps/ctrlProp328.xml"/><Relationship Id="rId19" Type="http://schemas.openxmlformats.org/officeDocument/2006/relationships/ctrlProp" Target="../ctrlProps/ctrlProp265.xml"/><Relationship Id="rId14" Type="http://schemas.openxmlformats.org/officeDocument/2006/relationships/ctrlProp" Target="../ctrlProps/ctrlProp260.xml"/><Relationship Id="rId30" Type="http://schemas.openxmlformats.org/officeDocument/2006/relationships/ctrlProp" Target="../ctrlProps/ctrlProp276.xml"/><Relationship Id="rId35" Type="http://schemas.openxmlformats.org/officeDocument/2006/relationships/ctrlProp" Target="../ctrlProps/ctrlProp281.xml"/><Relationship Id="rId56" Type="http://schemas.openxmlformats.org/officeDocument/2006/relationships/ctrlProp" Target="../ctrlProps/ctrlProp302.xml"/><Relationship Id="rId77" Type="http://schemas.openxmlformats.org/officeDocument/2006/relationships/ctrlProp" Target="../ctrlProps/ctrlProp323.xml"/><Relationship Id="rId100" Type="http://schemas.openxmlformats.org/officeDocument/2006/relationships/ctrlProp" Target="../ctrlProps/ctrlProp346.xml"/><Relationship Id="rId105" Type="http://schemas.openxmlformats.org/officeDocument/2006/relationships/ctrlProp" Target="../ctrlProps/ctrlProp351.xml"/><Relationship Id="rId8" Type="http://schemas.openxmlformats.org/officeDocument/2006/relationships/ctrlProp" Target="../ctrlProps/ctrlProp254.xml"/><Relationship Id="rId51" Type="http://schemas.openxmlformats.org/officeDocument/2006/relationships/ctrlProp" Target="../ctrlProps/ctrlProp297.xml"/><Relationship Id="rId72" Type="http://schemas.openxmlformats.org/officeDocument/2006/relationships/ctrlProp" Target="../ctrlProps/ctrlProp318.xml"/><Relationship Id="rId93" Type="http://schemas.openxmlformats.org/officeDocument/2006/relationships/ctrlProp" Target="../ctrlProps/ctrlProp339.xml"/><Relationship Id="rId98" Type="http://schemas.openxmlformats.org/officeDocument/2006/relationships/ctrlProp" Target="../ctrlProps/ctrlProp344.xml"/><Relationship Id="rId3" Type="http://schemas.openxmlformats.org/officeDocument/2006/relationships/vmlDrawing" Target="../drawings/vmlDrawing4.vml"/><Relationship Id="rId25" Type="http://schemas.openxmlformats.org/officeDocument/2006/relationships/ctrlProp" Target="../ctrlProps/ctrlProp271.xml"/><Relationship Id="rId46" Type="http://schemas.openxmlformats.org/officeDocument/2006/relationships/ctrlProp" Target="../ctrlProps/ctrlProp292.xml"/><Relationship Id="rId67" Type="http://schemas.openxmlformats.org/officeDocument/2006/relationships/ctrlProp" Target="../ctrlProps/ctrlProp313.xml"/><Relationship Id="rId20" Type="http://schemas.openxmlformats.org/officeDocument/2006/relationships/ctrlProp" Target="../ctrlProps/ctrlProp266.xml"/><Relationship Id="rId41" Type="http://schemas.openxmlformats.org/officeDocument/2006/relationships/ctrlProp" Target="../ctrlProps/ctrlProp287.xml"/><Relationship Id="rId62" Type="http://schemas.openxmlformats.org/officeDocument/2006/relationships/ctrlProp" Target="../ctrlProps/ctrlProp308.xml"/><Relationship Id="rId83" Type="http://schemas.openxmlformats.org/officeDocument/2006/relationships/ctrlProp" Target="../ctrlProps/ctrlProp329.xml"/><Relationship Id="rId88" Type="http://schemas.openxmlformats.org/officeDocument/2006/relationships/ctrlProp" Target="../ctrlProps/ctrlProp334.xml"/><Relationship Id="rId111" Type="http://schemas.openxmlformats.org/officeDocument/2006/relationships/ctrlProp" Target="../ctrlProps/ctrlProp35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474.xml"/><Relationship Id="rId21" Type="http://schemas.openxmlformats.org/officeDocument/2006/relationships/ctrlProp" Target="../ctrlProps/ctrlProp378.xml"/><Relationship Id="rId42" Type="http://schemas.openxmlformats.org/officeDocument/2006/relationships/ctrlProp" Target="../ctrlProps/ctrlProp399.xml"/><Relationship Id="rId63" Type="http://schemas.openxmlformats.org/officeDocument/2006/relationships/ctrlProp" Target="../ctrlProps/ctrlProp420.xml"/><Relationship Id="rId84" Type="http://schemas.openxmlformats.org/officeDocument/2006/relationships/ctrlProp" Target="../ctrlProps/ctrlProp441.xml"/><Relationship Id="rId138" Type="http://schemas.openxmlformats.org/officeDocument/2006/relationships/ctrlProp" Target="../ctrlProps/ctrlProp495.xml"/><Relationship Id="rId16" Type="http://schemas.openxmlformats.org/officeDocument/2006/relationships/ctrlProp" Target="../ctrlProps/ctrlProp373.xml"/><Relationship Id="rId107" Type="http://schemas.openxmlformats.org/officeDocument/2006/relationships/ctrlProp" Target="../ctrlProps/ctrlProp464.xml"/><Relationship Id="rId11" Type="http://schemas.openxmlformats.org/officeDocument/2006/relationships/ctrlProp" Target="../ctrlProps/ctrlProp368.xml"/><Relationship Id="rId32" Type="http://schemas.openxmlformats.org/officeDocument/2006/relationships/ctrlProp" Target="../ctrlProps/ctrlProp389.xml"/><Relationship Id="rId37" Type="http://schemas.openxmlformats.org/officeDocument/2006/relationships/ctrlProp" Target="../ctrlProps/ctrlProp394.xml"/><Relationship Id="rId53" Type="http://schemas.openxmlformats.org/officeDocument/2006/relationships/ctrlProp" Target="../ctrlProps/ctrlProp410.xml"/><Relationship Id="rId58" Type="http://schemas.openxmlformats.org/officeDocument/2006/relationships/ctrlProp" Target="../ctrlProps/ctrlProp415.xml"/><Relationship Id="rId74" Type="http://schemas.openxmlformats.org/officeDocument/2006/relationships/ctrlProp" Target="../ctrlProps/ctrlProp431.xml"/><Relationship Id="rId79" Type="http://schemas.openxmlformats.org/officeDocument/2006/relationships/ctrlProp" Target="../ctrlProps/ctrlProp436.xml"/><Relationship Id="rId102" Type="http://schemas.openxmlformats.org/officeDocument/2006/relationships/ctrlProp" Target="../ctrlProps/ctrlProp459.xml"/><Relationship Id="rId123" Type="http://schemas.openxmlformats.org/officeDocument/2006/relationships/ctrlProp" Target="../ctrlProps/ctrlProp480.xml"/><Relationship Id="rId128" Type="http://schemas.openxmlformats.org/officeDocument/2006/relationships/ctrlProp" Target="../ctrlProps/ctrlProp485.xml"/><Relationship Id="rId5" Type="http://schemas.openxmlformats.org/officeDocument/2006/relationships/ctrlProp" Target="../ctrlProps/ctrlProp362.xml"/><Relationship Id="rId90" Type="http://schemas.openxmlformats.org/officeDocument/2006/relationships/ctrlProp" Target="../ctrlProps/ctrlProp447.xml"/><Relationship Id="rId95" Type="http://schemas.openxmlformats.org/officeDocument/2006/relationships/ctrlProp" Target="../ctrlProps/ctrlProp452.xml"/><Relationship Id="rId22" Type="http://schemas.openxmlformats.org/officeDocument/2006/relationships/ctrlProp" Target="../ctrlProps/ctrlProp379.xml"/><Relationship Id="rId27" Type="http://schemas.openxmlformats.org/officeDocument/2006/relationships/ctrlProp" Target="../ctrlProps/ctrlProp384.xml"/><Relationship Id="rId43" Type="http://schemas.openxmlformats.org/officeDocument/2006/relationships/ctrlProp" Target="../ctrlProps/ctrlProp400.xml"/><Relationship Id="rId48" Type="http://schemas.openxmlformats.org/officeDocument/2006/relationships/ctrlProp" Target="../ctrlProps/ctrlProp405.xml"/><Relationship Id="rId64" Type="http://schemas.openxmlformats.org/officeDocument/2006/relationships/ctrlProp" Target="../ctrlProps/ctrlProp421.xml"/><Relationship Id="rId69" Type="http://schemas.openxmlformats.org/officeDocument/2006/relationships/ctrlProp" Target="../ctrlProps/ctrlProp426.xml"/><Relationship Id="rId113" Type="http://schemas.openxmlformats.org/officeDocument/2006/relationships/ctrlProp" Target="../ctrlProps/ctrlProp470.xml"/><Relationship Id="rId118" Type="http://schemas.openxmlformats.org/officeDocument/2006/relationships/ctrlProp" Target="../ctrlProps/ctrlProp475.xml"/><Relationship Id="rId134" Type="http://schemas.openxmlformats.org/officeDocument/2006/relationships/ctrlProp" Target="../ctrlProps/ctrlProp491.xml"/><Relationship Id="rId139" Type="http://schemas.openxmlformats.org/officeDocument/2006/relationships/ctrlProp" Target="../ctrlProps/ctrlProp496.xml"/><Relationship Id="rId80" Type="http://schemas.openxmlformats.org/officeDocument/2006/relationships/ctrlProp" Target="../ctrlProps/ctrlProp437.xml"/><Relationship Id="rId85" Type="http://schemas.openxmlformats.org/officeDocument/2006/relationships/ctrlProp" Target="../ctrlProps/ctrlProp442.xml"/><Relationship Id="rId12" Type="http://schemas.openxmlformats.org/officeDocument/2006/relationships/ctrlProp" Target="../ctrlProps/ctrlProp369.xml"/><Relationship Id="rId17" Type="http://schemas.openxmlformats.org/officeDocument/2006/relationships/ctrlProp" Target="../ctrlProps/ctrlProp374.xml"/><Relationship Id="rId33" Type="http://schemas.openxmlformats.org/officeDocument/2006/relationships/ctrlProp" Target="../ctrlProps/ctrlProp390.xml"/><Relationship Id="rId38" Type="http://schemas.openxmlformats.org/officeDocument/2006/relationships/ctrlProp" Target="../ctrlProps/ctrlProp395.xml"/><Relationship Id="rId59" Type="http://schemas.openxmlformats.org/officeDocument/2006/relationships/ctrlProp" Target="../ctrlProps/ctrlProp416.xml"/><Relationship Id="rId103" Type="http://schemas.openxmlformats.org/officeDocument/2006/relationships/ctrlProp" Target="../ctrlProps/ctrlProp460.xml"/><Relationship Id="rId108" Type="http://schemas.openxmlformats.org/officeDocument/2006/relationships/ctrlProp" Target="../ctrlProps/ctrlProp465.xml"/><Relationship Id="rId124" Type="http://schemas.openxmlformats.org/officeDocument/2006/relationships/ctrlProp" Target="../ctrlProps/ctrlProp481.xml"/><Relationship Id="rId129" Type="http://schemas.openxmlformats.org/officeDocument/2006/relationships/ctrlProp" Target="../ctrlProps/ctrlProp486.xml"/><Relationship Id="rId54" Type="http://schemas.openxmlformats.org/officeDocument/2006/relationships/ctrlProp" Target="../ctrlProps/ctrlProp411.xml"/><Relationship Id="rId70" Type="http://schemas.openxmlformats.org/officeDocument/2006/relationships/ctrlProp" Target="../ctrlProps/ctrlProp427.xml"/><Relationship Id="rId75" Type="http://schemas.openxmlformats.org/officeDocument/2006/relationships/ctrlProp" Target="../ctrlProps/ctrlProp432.xml"/><Relationship Id="rId91" Type="http://schemas.openxmlformats.org/officeDocument/2006/relationships/ctrlProp" Target="../ctrlProps/ctrlProp448.xml"/><Relationship Id="rId96" Type="http://schemas.openxmlformats.org/officeDocument/2006/relationships/ctrlProp" Target="../ctrlProps/ctrlProp453.xml"/><Relationship Id="rId140" Type="http://schemas.openxmlformats.org/officeDocument/2006/relationships/ctrlProp" Target="../ctrlProps/ctrlProp497.xml"/><Relationship Id="rId1" Type="http://schemas.openxmlformats.org/officeDocument/2006/relationships/drawing" Target="../drawings/drawing6.xml"/><Relationship Id="rId6" Type="http://schemas.openxmlformats.org/officeDocument/2006/relationships/ctrlProp" Target="../ctrlProps/ctrlProp363.xml"/><Relationship Id="rId23" Type="http://schemas.openxmlformats.org/officeDocument/2006/relationships/ctrlProp" Target="../ctrlProps/ctrlProp380.xml"/><Relationship Id="rId28" Type="http://schemas.openxmlformats.org/officeDocument/2006/relationships/ctrlProp" Target="../ctrlProps/ctrlProp385.xml"/><Relationship Id="rId49" Type="http://schemas.openxmlformats.org/officeDocument/2006/relationships/ctrlProp" Target="../ctrlProps/ctrlProp406.xml"/><Relationship Id="rId114" Type="http://schemas.openxmlformats.org/officeDocument/2006/relationships/ctrlProp" Target="../ctrlProps/ctrlProp471.xml"/><Relationship Id="rId119" Type="http://schemas.openxmlformats.org/officeDocument/2006/relationships/ctrlProp" Target="../ctrlProps/ctrlProp476.xml"/><Relationship Id="rId44" Type="http://schemas.openxmlformats.org/officeDocument/2006/relationships/ctrlProp" Target="../ctrlProps/ctrlProp401.xml"/><Relationship Id="rId60" Type="http://schemas.openxmlformats.org/officeDocument/2006/relationships/ctrlProp" Target="../ctrlProps/ctrlProp417.xml"/><Relationship Id="rId65" Type="http://schemas.openxmlformats.org/officeDocument/2006/relationships/ctrlProp" Target="../ctrlProps/ctrlProp422.xml"/><Relationship Id="rId81" Type="http://schemas.openxmlformats.org/officeDocument/2006/relationships/ctrlProp" Target="../ctrlProps/ctrlProp438.xml"/><Relationship Id="rId86" Type="http://schemas.openxmlformats.org/officeDocument/2006/relationships/ctrlProp" Target="../ctrlProps/ctrlProp443.xml"/><Relationship Id="rId130" Type="http://schemas.openxmlformats.org/officeDocument/2006/relationships/ctrlProp" Target="../ctrlProps/ctrlProp487.xml"/><Relationship Id="rId135" Type="http://schemas.openxmlformats.org/officeDocument/2006/relationships/ctrlProp" Target="../ctrlProps/ctrlProp492.xml"/><Relationship Id="rId13" Type="http://schemas.openxmlformats.org/officeDocument/2006/relationships/ctrlProp" Target="../ctrlProps/ctrlProp370.xml"/><Relationship Id="rId18" Type="http://schemas.openxmlformats.org/officeDocument/2006/relationships/ctrlProp" Target="../ctrlProps/ctrlProp375.xml"/><Relationship Id="rId39" Type="http://schemas.openxmlformats.org/officeDocument/2006/relationships/ctrlProp" Target="../ctrlProps/ctrlProp396.xml"/><Relationship Id="rId109" Type="http://schemas.openxmlformats.org/officeDocument/2006/relationships/ctrlProp" Target="../ctrlProps/ctrlProp466.xml"/><Relationship Id="rId34" Type="http://schemas.openxmlformats.org/officeDocument/2006/relationships/ctrlProp" Target="../ctrlProps/ctrlProp391.xml"/><Relationship Id="rId50" Type="http://schemas.openxmlformats.org/officeDocument/2006/relationships/ctrlProp" Target="../ctrlProps/ctrlProp407.xml"/><Relationship Id="rId55" Type="http://schemas.openxmlformats.org/officeDocument/2006/relationships/ctrlProp" Target="../ctrlProps/ctrlProp412.xml"/><Relationship Id="rId76" Type="http://schemas.openxmlformats.org/officeDocument/2006/relationships/ctrlProp" Target="../ctrlProps/ctrlProp433.xml"/><Relationship Id="rId97" Type="http://schemas.openxmlformats.org/officeDocument/2006/relationships/ctrlProp" Target="../ctrlProps/ctrlProp454.xml"/><Relationship Id="rId104" Type="http://schemas.openxmlformats.org/officeDocument/2006/relationships/ctrlProp" Target="../ctrlProps/ctrlProp461.xml"/><Relationship Id="rId120" Type="http://schemas.openxmlformats.org/officeDocument/2006/relationships/ctrlProp" Target="../ctrlProps/ctrlProp477.xml"/><Relationship Id="rId125" Type="http://schemas.openxmlformats.org/officeDocument/2006/relationships/ctrlProp" Target="../ctrlProps/ctrlProp482.xml"/><Relationship Id="rId7" Type="http://schemas.openxmlformats.org/officeDocument/2006/relationships/ctrlProp" Target="../ctrlProps/ctrlProp364.xml"/><Relationship Id="rId71" Type="http://schemas.openxmlformats.org/officeDocument/2006/relationships/ctrlProp" Target="../ctrlProps/ctrlProp428.xml"/><Relationship Id="rId92" Type="http://schemas.openxmlformats.org/officeDocument/2006/relationships/ctrlProp" Target="../ctrlProps/ctrlProp449.xml"/><Relationship Id="rId2" Type="http://schemas.openxmlformats.org/officeDocument/2006/relationships/vmlDrawing" Target="../drawings/vmlDrawing6.vml"/><Relationship Id="rId29" Type="http://schemas.openxmlformats.org/officeDocument/2006/relationships/ctrlProp" Target="../ctrlProps/ctrlProp386.xml"/><Relationship Id="rId24" Type="http://schemas.openxmlformats.org/officeDocument/2006/relationships/ctrlProp" Target="../ctrlProps/ctrlProp381.xml"/><Relationship Id="rId40" Type="http://schemas.openxmlformats.org/officeDocument/2006/relationships/ctrlProp" Target="../ctrlProps/ctrlProp397.xml"/><Relationship Id="rId45" Type="http://schemas.openxmlformats.org/officeDocument/2006/relationships/ctrlProp" Target="../ctrlProps/ctrlProp402.xml"/><Relationship Id="rId66" Type="http://schemas.openxmlformats.org/officeDocument/2006/relationships/ctrlProp" Target="../ctrlProps/ctrlProp423.xml"/><Relationship Id="rId87" Type="http://schemas.openxmlformats.org/officeDocument/2006/relationships/ctrlProp" Target="../ctrlProps/ctrlProp444.xml"/><Relationship Id="rId110" Type="http://schemas.openxmlformats.org/officeDocument/2006/relationships/ctrlProp" Target="../ctrlProps/ctrlProp467.xml"/><Relationship Id="rId115" Type="http://schemas.openxmlformats.org/officeDocument/2006/relationships/ctrlProp" Target="../ctrlProps/ctrlProp472.xml"/><Relationship Id="rId131" Type="http://schemas.openxmlformats.org/officeDocument/2006/relationships/ctrlProp" Target="../ctrlProps/ctrlProp488.xml"/><Relationship Id="rId136" Type="http://schemas.openxmlformats.org/officeDocument/2006/relationships/ctrlProp" Target="../ctrlProps/ctrlProp493.xml"/><Relationship Id="rId61" Type="http://schemas.openxmlformats.org/officeDocument/2006/relationships/ctrlProp" Target="../ctrlProps/ctrlProp418.xml"/><Relationship Id="rId82" Type="http://schemas.openxmlformats.org/officeDocument/2006/relationships/ctrlProp" Target="../ctrlProps/ctrlProp439.xml"/><Relationship Id="rId19" Type="http://schemas.openxmlformats.org/officeDocument/2006/relationships/ctrlProp" Target="../ctrlProps/ctrlProp376.xml"/><Relationship Id="rId14" Type="http://schemas.openxmlformats.org/officeDocument/2006/relationships/ctrlProp" Target="../ctrlProps/ctrlProp371.xml"/><Relationship Id="rId30" Type="http://schemas.openxmlformats.org/officeDocument/2006/relationships/ctrlProp" Target="../ctrlProps/ctrlProp387.xml"/><Relationship Id="rId35" Type="http://schemas.openxmlformats.org/officeDocument/2006/relationships/ctrlProp" Target="../ctrlProps/ctrlProp392.xml"/><Relationship Id="rId56" Type="http://schemas.openxmlformats.org/officeDocument/2006/relationships/ctrlProp" Target="../ctrlProps/ctrlProp413.xml"/><Relationship Id="rId77" Type="http://schemas.openxmlformats.org/officeDocument/2006/relationships/ctrlProp" Target="../ctrlProps/ctrlProp434.xml"/><Relationship Id="rId100" Type="http://schemas.openxmlformats.org/officeDocument/2006/relationships/ctrlProp" Target="../ctrlProps/ctrlProp457.xml"/><Relationship Id="rId105" Type="http://schemas.openxmlformats.org/officeDocument/2006/relationships/ctrlProp" Target="../ctrlProps/ctrlProp462.xml"/><Relationship Id="rId126" Type="http://schemas.openxmlformats.org/officeDocument/2006/relationships/ctrlProp" Target="../ctrlProps/ctrlProp483.xml"/><Relationship Id="rId8" Type="http://schemas.openxmlformats.org/officeDocument/2006/relationships/ctrlProp" Target="../ctrlProps/ctrlProp365.xml"/><Relationship Id="rId51" Type="http://schemas.openxmlformats.org/officeDocument/2006/relationships/ctrlProp" Target="../ctrlProps/ctrlProp408.xml"/><Relationship Id="rId72" Type="http://schemas.openxmlformats.org/officeDocument/2006/relationships/ctrlProp" Target="../ctrlProps/ctrlProp429.xml"/><Relationship Id="rId93" Type="http://schemas.openxmlformats.org/officeDocument/2006/relationships/ctrlProp" Target="../ctrlProps/ctrlProp450.xml"/><Relationship Id="rId98" Type="http://schemas.openxmlformats.org/officeDocument/2006/relationships/ctrlProp" Target="../ctrlProps/ctrlProp455.xml"/><Relationship Id="rId121" Type="http://schemas.openxmlformats.org/officeDocument/2006/relationships/ctrlProp" Target="../ctrlProps/ctrlProp478.xml"/><Relationship Id="rId3" Type="http://schemas.openxmlformats.org/officeDocument/2006/relationships/ctrlProp" Target="../ctrlProps/ctrlProp360.xml"/><Relationship Id="rId25" Type="http://schemas.openxmlformats.org/officeDocument/2006/relationships/ctrlProp" Target="../ctrlProps/ctrlProp382.xml"/><Relationship Id="rId46" Type="http://schemas.openxmlformats.org/officeDocument/2006/relationships/ctrlProp" Target="../ctrlProps/ctrlProp403.xml"/><Relationship Id="rId67" Type="http://schemas.openxmlformats.org/officeDocument/2006/relationships/ctrlProp" Target="../ctrlProps/ctrlProp424.xml"/><Relationship Id="rId116" Type="http://schemas.openxmlformats.org/officeDocument/2006/relationships/ctrlProp" Target="../ctrlProps/ctrlProp473.xml"/><Relationship Id="rId137" Type="http://schemas.openxmlformats.org/officeDocument/2006/relationships/ctrlProp" Target="../ctrlProps/ctrlProp494.xml"/><Relationship Id="rId20" Type="http://schemas.openxmlformats.org/officeDocument/2006/relationships/ctrlProp" Target="../ctrlProps/ctrlProp377.xml"/><Relationship Id="rId41" Type="http://schemas.openxmlformats.org/officeDocument/2006/relationships/ctrlProp" Target="../ctrlProps/ctrlProp398.xml"/><Relationship Id="rId62" Type="http://schemas.openxmlformats.org/officeDocument/2006/relationships/ctrlProp" Target="../ctrlProps/ctrlProp419.xml"/><Relationship Id="rId83" Type="http://schemas.openxmlformats.org/officeDocument/2006/relationships/ctrlProp" Target="../ctrlProps/ctrlProp440.xml"/><Relationship Id="rId88" Type="http://schemas.openxmlformats.org/officeDocument/2006/relationships/ctrlProp" Target="../ctrlProps/ctrlProp445.xml"/><Relationship Id="rId111" Type="http://schemas.openxmlformats.org/officeDocument/2006/relationships/ctrlProp" Target="../ctrlProps/ctrlProp468.xml"/><Relationship Id="rId132" Type="http://schemas.openxmlformats.org/officeDocument/2006/relationships/ctrlProp" Target="../ctrlProps/ctrlProp489.xml"/><Relationship Id="rId15" Type="http://schemas.openxmlformats.org/officeDocument/2006/relationships/ctrlProp" Target="../ctrlProps/ctrlProp372.xml"/><Relationship Id="rId36" Type="http://schemas.openxmlformats.org/officeDocument/2006/relationships/ctrlProp" Target="../ctrlProps/ctrlProp393.xml"/><Relationship Id="rId57" Type="http://schemas.openxmlformats.org/officeDocument/2006/relationships/ctrlProp" Target="../ctrlProps/ctrlProp414.xml"/><Relationship Id="rId106" Type="http://schemas.openxmlformats.org/officeDocument/2006/relationships/ctrlProp" Target="../ctrlProps/ctrlProp463.xml"/><Relationship Id="rId127" Type="http://schemas.openxmlformats.org/officeDocument/2006/relationships/ctrlProp" Target="../ctrlProps/ctrlProp484.xml"/><Relationship Id="rId10" Type="http://schemas.openxmlformats.org/officeDocument/2006/relationships/ctrlProp" Target="../ctrlProps/ctrlProp367.xml"/><Relationship Id="rId31" Type="http://schemas.openxmlformats.org/officeDocument/2006/relationships/ctrlProp" Target="../ctrlProps/ctrlProp388.xml"/><Relationship Id="rId52" Type="http://schemas.openxmlformats.org/officeDocument/2006/relationships/ctrlProp" Target="../ctrlProps/ctrlProp409.xml"/><Relationship Id="rId73" Type="http://schemas.openxmlformats.org/officeDocument/2006/relationships/ctrlProp" Target="../ctrlProps/ctrlProp430.xml"/><Relationship Id="rId78" Type="http://schemas.openxmlformats.org/officeDocument/2006/relationships/ctrlProp" Target="../ctrlProps/ctrlProp435.xml"/><Relationship Id="rId94" Type="http://schemas.openxmlformats.org/officeDocument/2006/relationships/ctrlProp" Target="../ctrlProps/ctrlProp451.xml"/><Relationship Id="rId99" Type="http://schemas.openxmlformats.org/officeDocument/2006/relationships/ctrlProp" Target="../ctrlProps/ctrlProp456.xml"/><Relationship Id="rId101" Type="http://schemas.openxmlformats.org/officeDocument/2006/relationships/ctrlProp" Target="../ctrlProps/ctrlProp458.xml"/><Relationship Id="rId122" Type="http://schemas.openxmlformats.org/officeDocument/2006/relationships/ctrlProp" Target="../ctrlProps/ctrlProp479.xml"/><Relationship Id="rId4" Type="http://schemas.openxmlformats.org/officeDocument/2006/relationships/ctrlProp" Target="../ctrlProps/ctrlProp361.xml"/><Relationship Id="rId9" Type="http://schemas.openxmlformats.org/officeDocument/2006/relationships/ctrlProp" Target="../ctrlProps/ctrlProp366.xml"/><Relationship Id="rId26" Type="http://schemas.openxmlformats.org/officeDocument/2006/relationships/ctrlProp" Target="../ctrlProps/ctrlProp383.xml"/><Relationship Id="rId47" Type="http://schemas.openxmlformats.org/officeDocument/2006/relationships/ctrlProp" Target="../ctrlProps/ctrlProp404.xml"/><Relationship Id="rId68" Type="http://schemas.openxmlformats.org/officeDocument/2006/relationships/ctrlProp" Target="../ctrlProps/ctrlProp425.xml"/><Relationship Id="rId89" Type="http://schemas.openxmlformats.org/officeDocument/2006/relationships/ctrlProp" Target="../ctrlProps/ctrlProp446.xml"/><Relationship Id="rId112" Type="http://schemas.openxmlformats.org/officeDocument/2006/relationships/ctrlProp" Target="../ctrlProps/ctrlProp469.xml"/><Relationship Id="rId133" Type="http://schemas.openxmlformats.org/officeDocument/2006/relationships/ctrlProp" Target="../ctrlProps/ctrlProp49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42" Type="http://schemas.openxmlformats.org/officeDocument/2006/relationships/ctrlProp" Target="../ctrlProps/ctrlProp536.xml"/><Relationship Id="rId47" Type="http://schemas.openxmlformats.org/officeDocument/2006/relationships/ctrlProp" Target="../ctrlProps/ctrlProp541.xml"/><Relationship Id="rId63" Type="http://schemas.openxmlformats.org/officeDocument/2006/relationships/ctrlProp" Target="../ctrlProps/ctrlProp557.xml"/><Relationship Id="rId68" Type="http://schemas.openxmlformats.org/officeDocument/2006/relationships/ctrlProp" Target="../ctrlProps/ctrlProp562.xml"/><Relationship Id="rId7" Type="http://schemas.openxmlformats.org/officeDocument/2006/relationships/ctrlProp" Target="../ctrlProps/ctrlProp501.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5" Type="http://schemas.openxmlformats.org/officeDocument/2006/relationships/ctrlProp" Target="../ctrlProps/ctrlProp499.xml"/><Relationship Id="rId61" Type="http://schemas.openxmlformats.org/officeDocument/2006/relationships/ctrlProp" Target="../ctrlProps/ctrlProp555.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omments" Target="../comments5.xml"/><Relationship Id="rId8" Type="http://schemas.openxmlformats.org/officeDocument/2006/relationships/ctrlProp" Target="../ctrlProps/ctrlProp502.xml"/><Relationship Id="rId51" Type="http://schemas.openxmlformats.org/officeDocument/2006/relationships/ctrlProp" Target="../ctrlProps/ctrlProp545.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1" Type="http://schemas.openxmlformats.org/officeDocument/2006/relationships/printerSettings" Target="../printerSettings/printerSettings6.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 Id="rId34" Type="http://schemas.openxmlformats.org/officeDocument/2006/relationships/ctrlProp" Target="../ctrlProps/ctrlProp528.xml"/><Relationship Id="rId50" Type="http://schemas.openxmlformats.org/officeDocument/2006/relationships/ctrlProp" Target="../ctrlProps/ctrlProp544.xml"/><Relationship Id="rId55" Type="http://schemas.openxmlformats.org/officeDocument/2006/relationships/ctrlProp" Target="../ctrlProps/ctrlProp549.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585.xml"/><Relationship Id="rId21" Type="http://schemas.openxmlformats.org/officeDocument/2006/relationships/ctrlProp" Target="../ctrlProps/ctrlProp580.xml"/><Relationship Id="rId42" Type="http://schemas.openxmlformats.org/officeDocument/2006/relationships/ctrlProp" Target="../ctrlProps/ctrlProp601.xml"/><Relationship Id="rId47" Type="http://schemas.openxmlformats.org/officeDocument/2006/relationships/ctrlProp" Target="../ctrlProps/ctrlProp606.xml"/><Relationship Id="rId63" Type="http://schemas.openxmlformats.org/officeDocument/2006/relationships/ctrlProp" Target="../ctrlProps/ctrlProp622.xml"/><Relationship Id="rId68" Type="http://schemas.openxmlformats.org/officeDocument/2006/relationships/ctrlProp" Target="../ctrlProps/ctrlProp627.xml"/><Relationship Id="rId16" Type="http://schemas.openxmlformats.org/officeDocument/2006/relationships/ctrlProp" Target="../ctrlProps/ctrlProp575.xml"/><Relationship Id="rId11" Type="http://schemas.openxmlformats.org/officeDocument/2006/relationships/ctrlProp" Target="../ctrlProps/ctrlProp570.xml"/><Relationship Id="rId24" Type="http://schemas.openxmlformats.org/officeDocument/2006/relationships/ctrlProp" Target="../ctrlProps/ctrlProp583.xml"/><Relationship Id="rId32" Type="http://schemas.openxmlformats.org/officeDocument/2006/relationships/ctrlProp" Target="../ctrlProps/ctrlProp591.xml"/><Relationship Id="rId37" Type="http://schemas.openxmlformats.org/officeDocument/2006/relationships/ctrlProp" Target="../ctrlProps/ctrlProp596.xml"/><Relationship Id="rId40" Type="http://schemas.openxmlformats.org/officeDocument/2006/relationships/ctrlProp" Target="../ctrlProps/ctrlProp599.xml"/><Relationship Id="rId45" Type="http://schemas.openxmlformats.org/officeDocument/2006/relationships/ctrlProp" Target="../ctrlProps/ctrlProp604.xml"/><Relationship Id="rId53" Type="http://schemas.openxmlformats.org/officeDocument/2006/relationships/ctrlProp" Target="../ctrlProps/ctrlProp612.xml"/><Relationship Id="rId58" Type="http://schemas.openxmlformats.org/officeDocument/2006/relationships/ctrlProp" Target="../ctrlProps/ctrlProp617.xml"/><Relationship Id="rId66" Type="http://schemas.openxmlformats.org/officeDocument/2006/relationships/ctrlProp" Target="../ctrlProps/ctrlProp625.xml"/><Relationship Id="rId74" Type="http://schemas.openxmlformats.org/officeDocument/2006/relationships/ctrlProp" Target="../ctrlProps/ctrlProp633.xml"/><Relationship Id="rId79" Type="http://schemas.openxmlformats.org/officeDocument/2006/relationships/ctrlProp" Target="../ctrlProps/ctrlProp638.xml"/><Relationship Id="rId5" Type="http://schemas.openxmlformats.org/officeDocument/2006/relationships/ctrlProp" Target="../ctrlProps/ctrlProp564.xml"/><Relationship Id="rId61" Type="http://schemas.openxmlformats.org/officeDocument/2006/relationships/ctrlProp" Target="../ctrlProps/ctrlProp620.xml"/><Relationship Id="rId19" Type="http://schemas.openxmlformats.org/officeDocument/2006/relationships/ctrlProp" Target="../ctrlProps/ctrlProp578.xml"/><Relationship Id="rId14" Type="http://schemas.openxmlformats.org/officeDocument/2006/relationships/ctrlProp" Target="../ctrlProps/ctrlProp573.xml"/><Relationship Id="rId22" Type="http://schemas.openxmlformats.org/officeDocument/2006/relationships/ctrlProp" Target="../ctrlProps/ctrlProp581.xml"/><Relationship Id="rId27" Type="http://schemas.openxmlformats.org/officeDocument/2006/relationships/ctrlProp" Target="../ctrlProps/ctrlProp586.xml"/><Relationship Id="rId30" Type="http://schemas.openxmlformats.org/officeDocument/2006/relationships/ctrlProp" Target="../ctrlProps/ctrlProp589.xml"/><Relationship Id="rId35" Type="http://schemas.openxmlformats.org/officeDocument/2006/relationships/ctrlProp" Target="../ctrlProps/ctrlProp594.xml"/><Relationship Id="rId43" Type="http://schemas.openxmlformats.org/officeDocument/2006/relationships/ctrlProp" Target="../ctrlProps/ctrlProp602.xml"/><Relationship Id="rId48" Type="http://schemas.openxmlformats.org/officeDocument/2006/relationships/ctrlProp" Target="../ctrlProps/ctrlProp607.xml"/><Relationship Id="rId56" Type="http://schemas.openxmlformats.org/officeDocument/2006/relationships/ctrlProp" Target="../ctrlProps/ctrlProp615.xml"/><Relationship Id="rId64" Type="http://schemas.openxmlformats.org/officeDocument/2006/relationships/ctrlProp" Target="../ctrlProps/ctrlProp623.xml"/><Relationship Id="rId69" Type="http://schemas.openxmlformats.org/officeDocument/2006/relationships/ctrlProp" Target="../ctrlProps/ctrlProp628.xml"/><Relationship Id="rId77" Type="http://schemas.openxmlformats.org/officeDocument/2006/relationships/ctrlProp" Target="../ctrlProps/ctrlProp636.xml"/><Relationship Id="rId8" Type="http://schemas.openxmlformats.org/officeDocument/2006/relationships/ctrlProp" Target="../ctrlProps/ctrlProp567.xml"/><Relationship Id="rId51" Type="http://schemas.openxmlformats.org/officeDocument/2006/relationships/ctrlProp" Target="../ctrlProps/ctrlProp610.xml"/><Relationship Id="rId72" Type="http://schemas.openxmlformats.org/officeDocument/2006/relationships/ctrlProp" Target="../ctrlProps/ctrlProp631.xml"/><Relationship Id="rId80" Type="http://schemas.openxmlformats.org/officeDocument/2006/relationships/comments" Target="../comments6.xml"/><Relationship Id="rId3" Type="http://schemas.openxmlformats.org/officeDocument/2006/relationships/vmlDrawing" Target="../drawings/vmlDrawing8.vml"/><Relationship Id="rId12" Type="http://schemas.openxmlformats.org/officeDocument/2006/relationships/ctrlProp" Target="../ctrlProps/ctrlProp571.xml"/><Relationship Id="rId17" Type="http://schemas.openxmlformats.org/officeDocument/2006/relationships/ctrlProp" Target="../ctrlProps/ctrlProp576.xml"/><Relationship Id="rId25" Type="http://schemas.openxmlformats.org/officeDocument/2006/relationships/ctrlProp" Target="../ctrlProps/ctrlProp584.xml"/><Relationship Id="rId33" Type="http://schemas.openxmlformats.org/officeDocument/2006/relationships/ctrlProp" Target="../ctrlProps/ctrlProp592.xml"/><Relationship Id="rId38" Type="http://schemas.openxmlformats.org/officeDocument/2006/relationships/ctrlProp" Target="../ctrlProps/ctrlProp597.xml"/><Relationship Id="rId46" Type="http://schemas.openxmlformats.org/officeDocument/2006/relationships/ctrlProp" Target="../ctrlProps/ctrlProp605.xml"/><Relationship Id="rId59" Type="http://schemas.openxmlformats.org/officeDocument/2006/relationships/ctrlProp" Target="../ctrlProps/ctrlProp618.xml"/><Relationship Id="rId67" Type="http://schemas.openxmlformats.org/officeDocument/2006/relationships/ctrlProp" Target="../ctrlProps/ctrlProp626.xml"/><Relationship Id="rId20" Type="http://schemas.openxmlformats.org/officeDocument/2006/relationships/ctrlProp" Target="../ctrlProps/ctrlProp579.xml"/><Relationship Id="rId41" Type="http://schemas.openxmlformats.org/officeDocument/2006/relationships/ctrlProp" Target="../ctrlProps/ctrlProp600.xml"/><Relationship Id="rId54" Type="http://schemas.openxmlformats.org/officeDocument/2006/relationships/ctrlProp" Target="../ctrlProps/ctrlProp613.xml"/><Relationship Id="rId62" Type="http://schemas.openxmlformats.org/officeDocument/2006/relationships/ctrlProp" Target="../ctrlProps/ctrlProp621.xml"/><Relationship Id="rId70" Type="http://schemas.openxmlformats.org/officeDocument/2006/relationships/ctrlProp" Target="../ctrlProps/ctrlProp629.xml"/><Relationship Id="rId75" Type="http://schemas.openxmlformats.org/officeDocument/2006/relationships/ctrlProp" Target="../ctrlProps/ctrlProp634.xml"/><Relationship Id="rId1" Type="http://schemas.openxmlformats.org/officeDocument/2006/relationships/printerSettings" Target="../printerSettings/printerSettings7.bin"/><Relationship Id="rId6" Type="http://schemas.openxmlformats.org/officeDocument/2006/relationships/ctrlProp" Target="../ctrlProps/ctrlProp565.xml"/><Relationship Id="rId15" Type="http://schemas.openxmlformats.org/officeDocument/2006/relationships/ctrlProp" Target="../ctrlProps/ctrlProp574.xml"/><Relationship Id="rId23" Type="http://schemas.openxmlformats.org/officeDocument/2006/relationships/ctrlProp" Target="../ctrlProps/ctrlProp582.xml"/><Relationship Id="rId28" Type="http://schemas.openxmlformats.org/officeDocument/2006/relationships/ctrlProp" Target="../ctrlProps/ctrlProp587.xml"/><Relationship Id="rId36" Type="http://schemas.openxmlformats.org/officeDocument/2006/relationships/ctrlProp" Target="../ctrlProps/ctrlProp595.xml"/><Relationship Id="rId49" Type="http://schemas.openxmlformats.org/officeDocument/2006/relationships/ctrlProp" Target="../ctrlProps/ctrlProp608.xml"/><Relationship Id="rId57" Type="http://schemas.openxmlformats.org/officeDocument/2006/relationships/ctrlProp" Target="../ctrlProps/ctrlProp616.xml"/><Relationship Id="rId10" Type="http://schemas.openxmlformats.org/officeDocument/2006/relationships/ctrlProp" Target="../ctrlProps/ctrlProp569.xml"/><Relationship Id="rId31" Type="http://schemas.openxmlformats.org/officeDocument/2006/relationships/ctrlProp" Target="../ctrlProps/ctrlProp590.xml"/><Relationship Id="rId44" Type="http://schemas.openxmlformats.org/officeDocument/2006/relationships/ctrlProp" Target="../ctrlProps/ctrlProp603.xml"/><Relationship Id="rId52" Type="http://schemas.openxmlformats.org/officeDocument/2006/relationships/ctrlProp" Target="../ctrlProps/ctrlProp611.xml"/><Relationship Id="rId60" Type="http://schemas.openxmlformats.org/officeDocument/2006/relationships/ctrlProp" Target="../ctrlProps/ctrlProp619.xml"/><Relationship Id="rId65" Type="http://schemas.openxmlformats.org/officeDocument/2006/relationships/ctrlProp" Target="../ctrlProps/ctrlProp624.xml"/><Relationship Id="rId73" Type="http://schemas.openxmlformats.org/officeDocument/2006/relationships/ctrlProp" Target="../ctrlProps/ctrlProp632.xml"/><Relationship Id="rId78" Type="http://schemas.openxmlformats.org/officeDocument/2006/relationships/ctrlProp" Target="../ctrlProps/ctrlProp637.xml"/><Relationship Id="rId4" Type="http://schemas.openxmlformats.org/officeDocument/2006/relationships/ctrlProp" Target="../ctrlProps/ctrlProp563.xml"/><Relationship Id="rId9" Type="http://schemas.openxmlformats.org/officeDocument/2006/relationships/ctrlProp" Target="../ctrlProps/ctrlProp568.xml"/><Relationship Id="rId13" Type="http://schemas.openxmlformats.org/officeDocument/2006/relationships/ctrlProp" Target="../ctrlProps/ctrlProp572.xml"/><Relationship Id="rId18" Type="http://schemas.openxmlformats.org/officeDocument/2006/relationships/ctrlProp" Target="../ctrlProps/ctrlProp577.xml"/><Relationship Id="rId39" Type="http://schemas.openxmlformats.org/officeDocument/2006/relationships/ctrlProp" Target="../ctrlProps/ctrlProp598.xml"/><Relationship Id="rId34" Type="http://schemas.openxmlformats.org/officeDocument/2006/relationships/ctrlProp" Target="../ctrlProps/ctrlProp593.xml"/><Relationship Id="rId50" Type="http://schemas.openxmlformats.org/officeDocument/2006/relationships/ctrlProp" Target="../ctrlProps/ctrlProp609.xml"/><Relationship Id="rId55" Type="http://schemas.openxmlformats.org/officeDocument/2006/relationships/ctrlProp" Target="../ctrlProps/ctrlProp614.xml"/><Relationship Id="rId76" Type="http://schemas.openxmlformats.org/officeDocument/2006/relationships/ctrlProp" Target="../ctrlProps/ctrlProp635.xml"/><Relationship Id="rId7" Type="http://schemas.openxmlformats.org/officeDocument/2006/relationships/ctrlProp" Target="../ctrlProps/ctrlProp566.xml"/><Relationship Id="rId71" Type="http://schemas.openxmlformats.org/officeDocument/2006/relationships/ctrlProp" Target="../ctrlProps/ctrlProp630.xml"/><Relationship Id="rId2" Type="http://schemas.openxmlformats.org/officeDocument/2006/relationships/drawing" Target="../drawings/drawing9.xml"/><Relationship Id="rId2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BZ263"/>
  <sheetViews>
    <sheetView showGridLines="0" zoomScale="85" zoomScaleNormal="85" zoomScaleSheetLayoutView="75" workbookViewId="0">
      <selection activeCell="A17" sqref="A17"/>
    </sheetView>
  </sheetViews>
  <sheetFormatPr defaultColWidth="3.36328125" defaultRowHeight="18.649999999999999" customHeight="1"/>
  <cols>
    <col min="1" max="1" width="3.36328125" style="112"/>
    <col min="2" max="2" width="3.36328125" style="183"/>
    <col min="3" max="3" width="3.36328125" style="126"/>
    <col min="4" max="28" width="3.36328125" style="112"/>
    <col min="29" max="37" width="3.36328125" style="141"/>
    <col min="38" max="46" width="3.36328125" style="112"/>
    <col min="47" max="47" width="3.26953125" style="113" customWidth="1"/>
    <col min="48" max="55" width="6.6328125" style="114" hidden="1" customWidth="1"/>
    <col min="56" max="57" width="3.36328125" style="114" hidden="1" customWidth="1"/>
    <col min="58" max="58" width="3.36328125" style="115" hidden="1" customWidth="1"/>
    <col min="59" max="60" width="3.08984375" style="115" hidden="1" customWidth="1"/>
    <col min="61" max="63" width="3.36328125" style="115" hidden="1" customWidth="1"/>
    <col min="64" max="64" width="15.453125" style="115" hidden="1" customWidth="1"/>
    <col min="65" max="65" width="18.6328125" style="115" hidden="1" customWidth="1"/>
    <col min="66" max="66" width="14.6328125" style="115" hidden="1" customWidth="1"/>
    <col min="67" max="67" width="11.6328125" style="115" hidden="1" customWidth="1"/>
    <col min="68" max="68" width="8.6328125" style="115" hidden="1" customWidth="1"/>
    <col min="69" max="69" width="3.36328125" style="223" hidden="1" customWidth="1"/>
    <col min="70" max="72" width="3.36328125" style="115" customWidth="1"/>
    <col min="73" max="78" width="3.36328125" style="116" customWidth="1"/>
    <col min="79" max="16384" width="3.36328125" style="117"/>
  </cols>
  <sheetData>
    <row r="1" spans="1:69" ht="18.649999999999999" customHeight="1" thickBot="1">
      <c r="A1" s="113"/>
      <c r="B1" s="179"/>
      <c r="C1" s="112"/>
      <c r="AC1" s="112"/>
      <c r="AD1" s="112"/>
      <c r="AE1" s="112"/>
      <c r="AF1" s="112"/>
      <c r="AG1" s="112"/>
      <c r="AH1" s="112"/>
      <c r="AI1" s="112"/>
      <c r="AJ1" s="112"/>
      <c r="AK1" s="112"/>
      <c r="AZ1" s="115" t="s">
        <v>324</v>
      </c>
      <c r="BA1" s="114" t="s">
        <v>1950</v>
      </c>
      <c r="BC1" s="115"/>
      <c r="BG1" s="115" t="s">
        <v>786</v>
      </c>
      <c r="BL1" s="115" t="s">
        <v>787</v>
      </c>
      <c r="BM1" s="114" t="s">
        <v>1099</v>
      </c>
      <c r="BN1" s="115" t="s">
        <v>1100</v>
      </c>
      <c r="BO1" s="115" t="s">
        <v>1183</v>
      </c>
      <c r="BP1" s="115" t="s">
        <v>1951</v>
      </c>
    </row>
    <row r="2" spans="1:69" ht="18.649999999999999" customHeight="1" thickTop="1" thickBot="1">
      <c r="A2" s="113"/>
      <c r="B2" s="180"/>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9"/>
      <c r="AU2" s="120"/>
      <c r="AV2" s="502" t="b">
        <f>記入シート2!AV43</f>
        <v>0</v>
      </c>
      <c r="AW2" s="502" t="s">
        <v>2025</v>
      </c>
      <c r="AZ2" s="115" t="s">
        <v>325</v>
      </c>
      <c r="BA2" s="114" t="s">
        <v>1933</v>
      </c>
      <c r="BG2" s="115" t="s">
        <v>788</v>
      </c>
      <c r="BH2" s="115" t="s">
        <v>788</v>
      </c>
      <c r="BL2" s="115" t="s">
        <v>777</v>
      </c>
      <c r="BM2" s="114" t="s">
        <v>1101</v>
      </c>
      <c r="BN2" s="115" t="s">
        <v>1105</v>
      </c>
      <c r="BO2" s="115" t="s">
        <v>1101</v>
      </c>
      <c r="BP2" s="115" t="s">
        <v>1457</v>
      </c>
    </row>
    <row r="3" spans="1:69" ht="18.649999999999999" customHeight="1" thickTop="1">
      <c r="A3" s="121"/>
      <c r="B3" s="187"/>
      <c r="C3" s="1222" t="str">
        <f>記入シート1!C3</f>
        <v>端末決済サービス(A920SB) エントリーシート</v>
      </c>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c r="AR3" s="1223"/>
      <c r="AS3" s="1223"/>
      <c r="AT3" s="1224"/>
      <c r="AU3" s="122"/>
      <c r="AZ3" s="115" t="s">
        <v>331</v>
      </c>
      <c r="BA3" s="114" t="s">
        <v>1927</v>
      </c>
      <c r="BG3" s="115" t="s">
        <v>789</v>
      </c>
      <c r="BH3" s="115" t="s">
        <v>790</v>
      </c>
      <c r="BL3" s="115" t="s">
        <v>1052</v>
      </c>
      <c r="BM3" s="114" t="s">
        <v>1102</v>
      </c>
      <c r="BN3" s="115" t="s">
        <v>1106</v>
      </c>
      <c r="BO3" s="115" t="s">
        <v>1184</v>
      </c>
      <c r="BP3" s="115" t="s">
        <v>1410</v>
      </c>
    </row>
    <row r="4" spans="1:69" ht="18.75" customHeight="1" thickBot="1">
      <c r="A4" s="121"/>
      <c r="B4" s="187">
        <f>SUM(B13:B138)</f>
        <v>3</v>
      </c>
      <c r="C4" s="1225"/>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c r="AK4" s="1226"/>
      <c r="AL4" s="1226"/>
      <c r="AM4" s="1226"/>
      <c r="AN4" s="1226"/>
      <c r="AO4" s="1226"/>
      <c r="AP4" s="1226"/>
      <c r="AQ4" s="1226"/>
      <c r="AR4" s="1226"/>
      <c r="AS4" s="1226"/>
      <c r="AT4" s="1227"/>
      <c r="AU4" s="122"/>
      <c r="AZ4" s="115" t="s">
        <v>337</v>
      </c>
      <c r="BA4" s="114" t="s">
        <v>1929</v>
      </c>
      <c r="BG4" s="115" t="s">
        <v>791</v>
      </c>
      <c r="BH4" s="115" t="s">
        <v>792</v>
      </c>
      <c r="BL4" s="115" t="s">
        <v>2033</v>
      </c>
      <c r="BM4" s="114" t="s">
        <v>1103</v>
      </c>
      <c r="BN4" s="115" t="s">
        <v>1107</v>
      </c>
      <c r="BO4" s="115" t="s">
        <v>1185</v>
      </c>
      <c r="BP4" s="115" t="s">
        <v>1411</v>
      </c>
    </row>
    <row r="5" spans="1:69" ht="42" customHeight="1" thickTop="1">
      <c r="A5" s="121"/>
      <c r="B5" s="187"/>
      <c r="C5" s="1236" t="s">
        <v>5630</v>
      </c>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c r="AT5" s="1236"/>
      <c r="AU5" s="122"/>
      <c r="AZ5" s="115" t="s">
        <v>345</v>
      </c>
      <c r="BA5" s="114" t="s">
        <v>1927</v>
      </c>
      <c r="BG5" s="115" t="s">
        <v>793</v>
      </c>
      <c r="BH5" s="115" t="s">
        <v>794</v>
      </c>
      <c r="BL5" s="115" t="s">
        <v>2034</v>
      </c>
      <c r="BM5" s="114" t="s">
        <v>1104</v>
      </c>
      <c r="BN5" s="115" t="s">
        <v>1108</v>
      </c>
      <c r="BO5" s="115" t="s">
        <v>1186</v>
      </c>
      <c r="BP5" s="115" t="s">
        <v>1412</v>
      </c>
    </row>
    <row r="6" spans="1:69" ht="42" customHeight="1">
      <c r="A6" s="121"/>
      <c r="B6" s="187"/>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c r="AG6" s="1237"/>
      <c r="AH6" s="1237"/>
      <c r="AI6" s="1237"/>
      <c r="AJ6" s="1237"/>
      <c r="AK6" s="1237"/>
      <c r="AL6" s="1237"/>
      <c r="AM6" s="1237"/>
      <c r="AN6" s="1237"/>
      <c r="AO6" s="1237"/>
      <c r="AP6" s="1237"/>
      <c r="AQ6" s="1237"/>
      <c r="AR6" s="1237"/>
      <c r="AS6" s="1237"/>
      <c r="AT6" s="1237"/>
      <c r="AU6" s="122"/>
      <c r="AZ6" s="115" t="s">
        <v>350</v>
      </c>
      <c r="BA6" s="114" t="s">
        <v>1926</v>
      </c>
      <c r="BG6" s="115" t="s">
        <v>795</v>
      </c>
      <c r="BH6" s="115" t="s">
        <v>796</v>
      </c>
      <c r="BL6" s="115" t="s">
        <v>2035</v>
      </c>
      <c r="BO6" s="115" t="s">
        <v>1187</v>
      </c>
      <c r="BP6" s="115" t="s">
        <v>1413</v>
      </c>
    </row>
    <row r="7" spans="1:69" ht="42" customHeight="1">
      <c r="A7" s="121"/>
      <c r="B7" s="187"/>
      <c r="C7" s="1237"/>
      <c r="D7" s="1237"/>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7"/>
      <c r="AL7" s="1237"/>
      <c r="AM7" s="1237"/>
      <c r="AN7" s="1237"/>
      <c r="AO7" s="1237"/>
      <c r="AP7" s="1237"/>
      <c r="AQ7" s="1237"/>
      <c r="AR7" s="1237"/>
      <c r="AS7" s="1237"/>
      <c r="AT7" s="1237"/>
      <c r="AU7" s="122"/>
      <c r="AZ7" s="115" t="s">
        <v>352</v>
      </c>
      <c r="BA7" s="114" t="s">
        <v>1930</v>
      </c>
      <c r="BG7" s="115" t="s">
        <v>797</v>
      </c>
      <c r="BH7" s="115" t="s">
        <v>798</v>
      </c>
      <c r="BL7" s="115" t="s">
        <v>2036</v>
      </c>
      <c r="BO7" s="115" t="s">
        <v>1188</v>
      </c>
      <c r="BP7" s="115" t="s">
        <v>1414</v>
      </c>
    </row>
    <row r="8" spans="1:69" ht="15.75" customHeight="1">
      <c r="A8" s="121"/>
      <c r="B8" s="187"/>
      <c r="C8" s="1238" t="str">
        <f>記入シート1!C8</f>
        <v>　　・クレジットカードおよび銀聯カードによる決済において、万が一、第三者が不正に入手したカード情報を利用したことにより生じる未回収金は、「SBPSクレジットカード加盟店規約&lt;対面取引用&gt;」に従って</v>
      </c>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38"/>
      <c r="AG8" s="1238"/>
      <c r="AH8" s="1238"/>
      <c r="AI8" s="1238"/>
      <c r="AJ8" s="1238"/>
      <c r="AK8" s="1238"/>
      <c r="AL8" s="1238"/>
      <c r="AM8" s="1238"/>
      <c r="AN8" s="1238"/>
      <c r="AO8" s="1238"/>
      <c r="AP8" s="1238"/>
      <c r="AQ8" s="1238"/>
      <c r="AR8" s="1238"/>
      <c r="AS8" s="1238"/>
      <c r="AT8" s="1238"/>
      <c r="AU8" s="122"/>
      <c r="AZ8" s="115" t="s">
        <v>355</v>
      </c>
      <c r="BA8" s="114" t="s">
        <v>1930</v>
      </c>
      <c r="BG8" s="115" t="s">
        <v>799</v>
      </c>
      <c r="BL8" s="115" t="s">
        <v>2037</v>
      </c>
      <c r="BO8" s="115" t="s">
        <v>1189</v>
      </c>
      <c r="BP8" s="115" t="s">
        <v>1415</v>
      </c>
    </row>
    <row r="9" spans="1:69" ht="15.75" customHeight="1">
      <c r="A9" s="121"/>
      <c r="B9" s="187"/>
      <c r="C9" s="1239" t="str">
        <f>記入シート1!C9</f>
        <v xml:space="preserve">     チャージバック（立替代金の支払い取消）を行いますので、加盟店さまのご負担となります。</v>
      </c>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39"/>
      <c r="AO9" s="1239"/>
      <c r="AP9" s="1239"/>
      <c r="AQ9" s="1239"/>
      <c r="AR9" s="1239"/>
      <c r="AS9" s="1239"/>
      <c r="AT9" s="1239"/>
      <c r="AU9" s="122"/>
      <c r="AZ9" s="115" t="s">
        <v>360</v>
      </c>
      <c r="BA9" s="114" t="s">
        <v>1930</v>
      </c>
      <c r="BG9" s="115" t="s">
        <v>800</v>
      </c>
      <c r="BL9" s="115" t="s">
        <v>2038</v>
      </c>
      <c r="BO9" s="115" t="s">
        <v>1190</v>
      </c>
      <c r="BP9" s="115" t="s">
        <v>1416</v>
      </c>
    </row>
    <row r="10" spans="1:69" ht="15.5" thickBot="1">
      <c r="B10" s="187"/>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2"/>
      <c r="AZ10" s="115" t="s">
        <v>363</v>
      </c>
      <c r="BA10" s="114" t="s">
        <v>1930</v>
      </c>
      <c r="BG10" s="115" t="s">
        <v>801</v>
      </c>
      <c r="BO10" s="115" t="s">
        <v>1191</v>
      </c>
      <c r="BP10" s="115" t="s">
        <v>1417</v>
      </c>
    </row>
    <row r="11" spans="1:69" ht="16">
      <c r="B11" s="187"/>
      <c r="C11" s="1228" t="s">
        <v>2087</v>
      </c>
      <c r="D11" s="1229"/>
      <c r="E11" s="1229"/>
      <c r="F11" s="1229"/>
      <c r="G11" s="1229"/>
      <c r="H11" s="1230"/>
      <c r="I11" s="631" t="str">
        <f>記入シート1!I11</f>
        <v>申し込みする決済手段毎に適用される「「端末決済サービス」に関する規約および</v>
      </c>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632"/>
      <c r="AU11" s="122"/>
      <c r="AZ11" s="115" t="s">
        <v>365</v>
      </c>
      <c r="BA11" s="114" t="s">
        <v>1928</v>
      </c>
      <c r="BF11" s="123"/>
      <c r="BG11" s="123" t="s">
        <v>802</v>
      </c>
      <c r="BH11" s="123"/>
      <c r="BI11" s="123"/>
      <c r="BJ11" s="123"/>
      <c r="BK11" s="123"/>
      <c r="BL11" s="123"/>
      <c r="BM11" s="123"/>
      <c r="BN11" s="123"/>
      <c r="BO11" s="115" t="s">
        <v>1192</v>
      </c>
      <c r="BP11" s="123" t="s">
        <v>1418</v>
      </c>
      <c r="BQ11" s="224"/>
    </row>
    <row r="12" spans="1:69" ht="16">
      <c r="A12" s="111"/>
      <c r="B12" s="187"/>
      <c r="C12" s="1200"/>
      <c r="D12" s="1201"/>
      <c r="E12" s="1201"/>
      <c r="F12" s="1201"/>
      <c r="G12" s="1201"/>
      <c r="H12" s="1202"/>
      <c r="I12" s="633" t="str">
        <f>記入シート1!I12</f>
        <v>クレジットカード加盟店規約&lt;対面取引用&gt;（関連規約を含む、以下「加盟店規約」）およびSBPSかんたんレジ規約の内容を確認し、</v>
      </c>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595"/>
      <c r="AU12" s="122"/>
      <c r="AV12" s="508">
        <v>1</v>
      </c>
      <c r="AW12" s="114" t="s">
        <v>2093</v>
      </c>
      <c r="AZ12" s="115" t="s">
        <v>369</v>
      </c>
      <c r="BA12" s="114" t="s">
        <v>1931</v>
      </c>
      <c r="BG12" s="115" t="s">
        <v>790</v>
      </c>
      <c r="BO12" s="123" t="s">
        <v>1193</v>
      </c>
      <c r="BP12" s="115" t="s">
        <v>1419</v>
      </c>
    </row>
    <row r="13" spans="1:69" ht="16">
      <c r="A13" s="111"/>
      <c r="B13" s="187">
        <f>IF(OR(AV12=0,AV13=0,AV18=FALSE,AV21=0),1,0)</f>
        <v>0</v>
      </c>
      <c r="C13" s="1200"/>
      <c r="D13" s="1201"/>
      <c r="E13" s="1201"/>
      <c r="F13" s="1201"/>
      <c r="G13" s="1201"/>
      <c r="H13" s="1202"/>
      <c r="I13" s="712" t="str">
        <f>記入シート1!I13</f>
        <v xml:space="preserve">承認のうえ申し込みいたします。 </v>
      </c>
      <c r="J13" s="467"/>
      <c r="K13" s="467"/>
      <c r="L13" s="467"/>
      <c r="M13" s="467"/>
      <c r="N13" s="467"/>
      <c r="O13" s="467"/>
      <c r="P13" s="634"/>
      <c r="Q13" s="634"/>
      <c r="R13" s="634"/>
      <c r="S13" s="634"/>
      <c r="T13" s="634"/>
      <c r="U13" s="634"/>
      <c r="V13" s="634"/>
      <c r="W13" s="634"/>
      <c r="X13" s="634"/>
      <c r="Y13" s="634"/>
      <c r="Z13" s="634"/>
      <c r="AA13" s="634"/>
      <c r="AB13" s="556"/>
      <c r="AC13" s="556"/>
      <c r="AD13" s="556"/>
      <c r="AE13" s="556"/>
      <c r="AF13" s="556"/>
      <c r="AG13" s="556"/>
      <c r="AH13" s="556"/>
      <c r="AI13" s="556"/>
      <c r="AJ13" s="556"/>
      <c r="AK13" s="556"/>
      <c r="AL13" s="556"/>
      <c r="AM13" s="556"/>
      <c r="AN13" s="556"/>
      <c r="AO13" s="556"/>
      <c r="AP13" s="556"/>
      <c r="AQ13" s="556"/>
      <c r="AR13" s="556"/>
      <c r="AS13" s="556"/>
      <c r="AT13" s="711"/>
      <c r="AU13" s="122"/>
      <c r="AV13" s="508">
        <v>1</v>
      </c>
      <c r="AW13" s="114" t="s">
        <v>2088</v>
      </c>
      <c r="AZ13" s="115" t="s">
        <v>371</v>
      </c>
      <c r="BA13" s="114" t="s">
        <v>1931</v>
      </c>
      <c r="BF13" s="123"/>
      <c r="BG13" s="123" t="s">
        <v>803</v>
      </c>
      <c r="BH13" s="123"/>
      <c r="BI13" s="123"/>
      <c r="BJ13" s="123"/>
      <c r="BK13" s="123"/>
      <c r="BL13" s="123"/>
      <c r="BM13" s="123"/>
      <c r="BN13" s="123"/>
      <c r="BO13" s="115" t="s">
        <v>1194</v>
      </c>
      <c r="BP13" s="123" t="s">
        <v>1420</v>
      </c>
      <c r="BQ13" s="224"/>
    </row>
    <row r="14" spans="1:69" ht="60" hidden="1" customHeight="1">
      <c r="A14" s="111"/>
      <c r="B14" s="187"/>
      <c r="C14" s="1200"/>
      <c r="D14" s="1201"/>
      <c r="E14" s="1201"/>
      <c r="F14" s="1201"/>
      <c r="G14" s="1201"/>
      <c r="H14" s="1202"/>
      <c r="I14" s="1234" t="s">
        <v>2264</v>
      </c>
      <c r="J14" s="1235"/>
      <c r="K14" s="1235"/>
      <c r="L14" s="1235"/>
      <c r="M14" s="1235"/>
      <c r="N14" s="1235"/>
      <c r="O14" s="1235"/>
      <c r="P14" s="1235"/>
      <c r="Q14" s="1235"/>
      <c r="R14" s="1235"/>
      <c r="S14" s="1235"/>
      <c r="T14" s="1235"/>
      <c r="U14" s="1235"/>
      <c r="V14" s="1235"/>
      <c r="W14" s="1235"/>
      <c r="X14" s="1235"/>
      <c r="Y14" s="1235"/>
      <c r="Z14" s="1235"/>
      <c r="AA14" s="1235"/>
      <c r="AB14" s="1232" t="s">
        <v>2098</v>
      </c>
      <c r="AC14" s="1232"/>
      <c r="AD14" s="1232"/>
      <c r="AE14" s="1232"/>
      <c r="AF14" s="1232"/>
      <c r="AG14" s="1232"/>
      <c r="AH14" s="1232"/>
      <c r="AI14" s="1232"/>
      <c r="AJ14" s="1232"/>
      <c r="AK14" s="1232"/>
      <c r="AL14" s="1232"/>
      <c r="AM14" s="1232"/>
      <c r="AN14" s="1232"/>
      <c r="AO14" s="1232"/>
      <c r="AP14" s="1232"/>
      <c r="AQ14" s="1232"/>
      <c r="AR14" s="1232"/>
      <c r="AS14" s="1232"/>
      <c r="AT14" s="1233"/>
      <c r="AU14" s="122"/>
      <c r="AZ14" s="115" t="s">
        <v>373</v>
      </c>
      <c r="BA14" s="114" t="s">
        <v>1931</v>
      </c>
      <c r="BG14" s="115" t="s">
        <v>1</v>
      </c>
      <c r="BK14" s="115" t="s">
        <v>2039</v>
      </c>
      <c r="BO14" s="123" t="s">
        <v>1195</v>
      </c>
      <c r="BP14" s="115" t="s">
        <v>1421</v>
      </c>
    </row>
    <row r="15" spans="1:69" ht="60" hidden="1" customHeight="1">
      <c r="A15" s="111"/>
      <c r="B15" s="187"/>
      <c r="C15" s="1200"/>
      <c r="D15" s="1201"/>
      <c r="E15" s="1201"/>
      <c r="F15" s="1201"/>
      <c r="G15" s="1201"/>
      <c r="H15" s="1202"/>
      <c r="I15" s="1231" t="s">
        <v>2096</v>
      </c>
      <c r="J15" s="1232"/>
      <c r="K15" s="1232"/>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3"/>
      <c r="AU15" s="122"/>
      <c r="AZ15" s="115" t="s">
        <v>374</v>
      </c>
      <c r="BA15" s="114" t="s">
        <v>1932</v>
      </c>
      <c r="BG15" s="115" t="s">
        <v>804</v>
      </c>
      <c r="BK15" s="511" t="s">
        <v>2040</v>
      </c>
      <c r="BL15" s="115" t="s">
        <v>1052</v>
      </c>
      <c r="BO15" s="115" t="s">
        <v>1196</v>
      </c>
      <c r="BP15" s="115" t="s">
        <v>1422</v>
      </c>
    </row>
    <row r="16" spans="1:69" ht="16">
      <c r="A16" s="111"/>
      <c r="B16" s="187"/>
      <c r="C16" s="1200"/>
      <c r="D16" s="1201"/>
      <c r="E16" s="1201"/>
      <c r="F16" s="1201"/>
      <c r="G16" s="1201"/>
      <c r="H16" s="1202"/>
      <c r="I16" s="1232" t="s">
        <v>2095</v>
      </c>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3"/>
      <c r="AU16" s="122"/>
      <c r="AZ16" s="115" t="s">
        <v>760</v>
      </c>
      <c r="BA16" s="114" t="s">
        <v>1931</v>
      </c>
      <c r="BG16" s="115" t="s">
        <v>805</v>
      </c>
      <c r="BK16" s="511" t="s">
        <v>791</v>
      </c>
      <c r="BL16" s="115" t="s">
        <v>2033</v>
      </c>
      <c r="BO16" s="115" t="s">
        <v>1197</v>
      </c>
      <c r="BP16" s="115" t="s">
        <v>1423</v>
      </c>
    </row>
    <row r="17" spans="1:68" ht="30" customHeight="1" thickBot="1">
      <c r="A17" s="111"/>
      <c r="B17" s="187"/>
      <c r="C17" s="1203"/>
      <c r="D17" s="1204"/>
      <c r="E17" s="1204"/>
      <c r="F17" s="1204"/>
      <c r="G17" s="1204"/>
      <c r="H17" s="1205"/>
      <c r="I17" s="635" t="s">
        <v>1181</v>
      </c>
      <c r="J17" s="125"/>
      <c r="K17" s="563"/>
      <c r="L17" s="563"/>
      <c r="M17" s="563"/>
      <c r="N17" s="563"/>
      <c r="O17" s="564"/>
      <c r="P17" s="565"/>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8"/>
      <c r="AU17" s="122"/>
      <c r="AZ17" s="115" t="s">
        <v>965</v>
      </c>
      <c r="BA17" s="114" t="s">
        <v>1933</v>
      </c>
      <c r="BG17" s="115" t="s">
        <v>806</v>
      </c>
      <c r="BK17" s="511" t="s">
        <v>793</v>
      </c>
      <c r="BL17" s="115" t="s">
        <v>2034</v>
      </c>
      <c r="BO17" s="115" t="s">
        <v>1198</v>
      </c>
      <c r="BP17" s="115" t="s">
        <v>1424</v>
      </c>
    </row>
    <row r="18" spans="1:68" ht="18" customHeight="1">
      <c r="A18" s="111"/>
      <c r="B18" s="187"/>
      <c r="C18" s="1200" t="s">
        <v>2086</v>
      </c>
      <c r="D18" s="1201"/>
      <c r="E18" s="1201"/>
      <c r="F18" s="1201"/>
      <c r="G18" s="1201"/>
      <c r="H18" s="1202"/>
      <c r="I18" s="574"/>
      <c r="J18" s="558"/>
      <c r="K18" s="558"/>
      <c r="L18" s="1136" t="s">
        <v>2091</v>
      </c>
      <c r="M18" s="1136"/>
      <c r="N18" s="1136"/>
      <c r="O18" s="1136"/>
      <c r="P18" s="566"/>
      <c r="Q18" s="566"/>
      <c r="R18" s="566"/>
      <c r="S18" s="1206" t="s">
        <v>2092</v>
      </c>
      <c r="T18" s="1206"/>
      <c r="U18" s="1206"/>
      <c r="V18" s="1206"/>
      <c r="W18" s="566"/>
      <c r="X18" s="566"/>
      <c r="Y18" s="566"/>
      <c r="Z18" s="566"/>
      <c r="AA18" s="575"/>
      <c r="AB18" s="576"/>
      <c r="AC18" s="566"/>
      <c r="AD18" s="566"/>
      <c r="AE18" s="1208" t="s">
        <v>1014</v>
      </c>
      <c r="AF18" s="1208"/>
      <c r="AG18" s="1208"/>
      <c r="AH18" s="1208"/>
      <c r="AI18" s="566"/>
      <c r="AJ18" s="566"/>
      <c r="AK18" s="566"/>
      <c r="AL18" s="1208" t="s">
        <v>2090</v>
      </c>
      <c r="AM18" s="1208"/>
      <c r="AN18" s="1208"/>
      <c r="AO18" s="1208"/>
      <c r="AP18" s="566"/>
      <c r="AQ18" s="566"/>
      <c r="AR18" s="566"/>
      <c r="AS18" s="566"/>
      <c r="AT18" s="567"/>
      <c r="AU18" s="122"/>
      <c r="AV18" s="114" t="b">
        <v>1</v>
      </c>
      <c r="AW18" s="114" t="s">
        <v>2094</v>
      </c>
      <c r="AZ18" s="114" t="s">
        <v>375</v>
      </c>
      <c r="BA18" s="114" t="s">
        <v>1933</v>
      </c>
      <c r="BG18" s="115" t="s">
        <v>807</v>
      </c>
      <c r="BK18" s="511" t="s">
        <v>795</v>
      </c>
      <c r="BL18" s="115" t="s">
        <v>2035</v>
      </c>
      <c r="BO18" s="115" t="s">
        <v>1199</v>
      </c>
      <c r="BP18" s="115" t="s">
        <v>1425</v>
      </c>
    </row>
    <row r="19" spans="1:68" ht="18" customHeight="1" thickBot="1">
      <c r="A19" s="111"/>
      <c r="B19" s="187"/>
      <c r="C19" s="1203"/>
      <c r="D19" s="1204"/>
      <c r="E19" s="1204"/>
      <c r="F19" s="1204"/>
      <c r="G19" s="1204"/>
      <c r="H19" s="1205"/>
      <c r="I19" s="568"/>
      <c r="J19" s="559"/>
      <c r="K19" s="559"/>
      <c r="L19" s="1137"/>
      <c r="M19" s="1137"/>
      <c r="N19" s="1137"/>
      <c r="O19" s="1137"/>
      <c r="P19" s="569"/>
      <c r="Q19" s="570"/>
      <c r="R19" s="570"/>
      <c r="S19" s="1207"/>
      <c r="T19" s="1207"/>
      <c r="U19" s="1207"/>
      <c r="V19" s="1207"/>
      <c r="W19" s="570"/>
      <c r="X19" s="570"/>
      <c r="Y19" s="570"/>
      <c r="Z19" s="570"/>
      <c r="AA19" s="571"/>
      <c r="AB19" s="573"/>
      <c r="AC19" s="570"/>
      <c r="AD19" s="570"/>
      <c r="AE19" s="1209"/>
      <c r="AF19" s="1209"/>
      <c r="AG19" s="1209"/>
      <c r="AH19" s="1209"/>
      <c r="AI19" s="570"/>
      <c r="AJ19" s="570"/>
      <c r="AK19" s="570"/>
      <c r="AL19" s="1209"/>
      <c r="AM19" s="1209"/>
      <c r="AN19" s="1209"/>
      <c r="AO19" s="1209"/>
      <c r="AP19" s="570"/>
      <c r="AQ19" s="570"/>
      <c r="AR19" s="570"/>
      <c r="AS19" s="570"/>
      <c r="AT19" s="572"/>
      <c r="AU19" s="122"/>
      <c r="BG19" s="115" t="s">
        <v>808</v>
      </c>
      <c r="BK19" s="511" t="s">
        <v>797</v>
      </c>
      <c r="BL19" s="115" t="s">
        <v>2041</v>
      </c>
      <c r="BO19" s="115" t="s">
        <v>1200</v>
      </c>
      <c r="BP19" s="115" t="s">
        <v>1426</v>
      </c>
    </row>
    <row r="20" spans="1:68" ht="18.649999999999999" customHeight="1">
      <c r="A20" s="111"/>
      <c r="B20" s="181"/>
      <c r="C20" s="1210" t="s">
        <v>1072</v>
      </c>
      <c r="D20" s="1211"/>
      <c r="E20" s="1211"/>
      <c r="F20" s="1211"/>
      <c r="G20" s="1211"/>
      <c r="H20" s="1212"/>
      <c r="I20" s="1213" t="s">
        <v>1074</v>
      </c>
      <c r="J20" s="1214"/>
      <c r="K20" s="1214"/>
      <c r="L20" s="1214"/>
      <c r="M20" s="1214"/>
      <c r="N20" s="1214"/>
      <c r="O20" s="1214"/>
      <c r="P20" s="1214"/>
      <c r="Q20" s="1214"/>
      <c r="R20" s="1214"/>
      <c r="S20" s="1214"/>
      <c r="T20" s="1214"/>
      <c r="U20" s="1214"/>
      <c r="V20" s="1214"/>
      <c r="W20" s="1214"/>
      <c r="X20" s="1214"/>
      <c r="Y20" s="1214"/>
      <c r="Z20" s="1214"/>
      <c r="AA20" s="1214"/>
      <c r="AB20" s="1214"/>
      <c r="AC20" s="1214"/>
      <c r="AD20" s="1214"/>
      <c r="AE20" s="1214"/>
      <c r="AF20" s="1214"/>
      <c r="AG20" s="1214"/>
      <c r="AH20" s="1214"/>
      <c r="AI20" s="1214"/>
      <c r="AJ20" s="1214"/>
      <c r="AK20" s="1214"/>
      <c r="AL20" s="1214"/>
      <c r="AM20" s="1214"/>
      <c r="AN20" s="555"/>
      <c r="AO20" s="1219" t="s">
        <v>1096</v>
      </c>
      <c r="AP20" s="1219"/>
      <c r="AQ20" s="1219"/>
      <c r="AR20" s="1250" t="s">
        <v>1176</v>
      </c>
      <c r="AS20" s="1250"/>
      <c r="AT20" s="1251"/>
      <c r="AU20" s="122"/>
      <c r="BG20" s="115" t="s">
        <v>809</v>
      </c>
      <c r="BK20" s="511" t="s">
        <v>799</v>
      </c>
      <c r="BL20" s="115" t="s">
        <v>2041</v>
      </c>
      <c r="BO20" s="115" t="s">
        <v>1201</v>
      </c>
      <c r="BP20" s="115" t="s">
        <v>1427</v>
      </c>
    </row>
    <row r="21" spans="1:68" ht="18.649999999999999" customHeight="1">
      <c r="A21" s="111"/>
      <c r="B21" s="181"/>
      <c r="C21" s="1150"/>
      <c r="D21" s="1151"/>
      <c r="E21" s="1151"/>
      <c r="F21" s="1151"/>
      <c r="G21" s="1151"/>
      <c r="H21" s="1152"/>
      <c r="I21" s="1215"/>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556" t="s">
        <v>1175</v>
      </c>
      <c r="AO21" s="1220"/>
      <c r="AP21" s="1220"/>
      <c r="AQ21" s="1220"/>
      <c r="AR21" s="1252"/>
      <c r="AS21" s="1252"/>
      <c r="AT21" s="1253"/>
      <c r="AU21" s="122"/>
      <c r="AV21" s="508">
        <v>1</v>
      </c>
      <c r="AW21" s="114" t="s">
        <v>2097</v>
      </c>
      <c r="BG21" s="115" t="s">
        <v>810</v>
      </c>
      <c r="BK21" s="511" t="s">
        <v>800</v>
      </c>
      <c r="BL21" s="115" t="s">
        <v>2041</v>
      </c>
      <c r="BO21" s="115" t="s">
        <v>1202</v>
      </c>
      <c r="BP21" s="115" t="s">
        <v>1428</v>
      </c>
    </row>
    <row r="22" spans="1:68" ht="18.649999999999999" customHeight="1" thickBot="1">
      <c r="A22" s="111"/>
      <c r="B22" s="181"/>
      <c r="C22" s="1153"/>
      <c r="D22" s="1154"/>
      <c r="E22" s="1154"/>
      <c r="F22" s="1154"/>
      <c r="G22" s="1154"/>
      <c r="H22" s="1155"/>
      <c r="I22" s="1217"/>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218"/>
      <c r="AM22" s="1218"/>
      <c r="AN22" s="557"/>
      <c r="AO22" s="1221"/>
      <c r="AP22" s="1221"/>
      <c r="AQ22" s="1221"/>
      <c r="AR22" s="1254"/>
      <c r="AS22" s="1254"/>
      <c r="AT22" s="1255"/>
      <c r="AU22" s="122"/>
      <c r="BG22" s="115" t="s">
        <v>792</v>
      </c>
      <c r="BO22" s="115" t="s">
        <v>1203</v>
      </c>
      <c r="BP22" s="115" t="s">
        <v>1429</v>
      </c>
    </row>
    <row r="23" spans="1:68" ht="18.649999999999999" customHeight="1">
      <c r="A23" s="111"/>
      <c r="B23" s="181"/>
      <c r="C23" s="1256" t="str">
        <f>IF(AV18=FALSE,"↑規約をご確認のうえ、申し込みのチェックをお願いいたします。",IF(OR(AV12=0,AV13=0),"↑申込区分の選択をお願いいたします。",IF(AV21=0,"↑特定商取引法、消費者契約法に関するご申告をお願いいたします。",IF(OR(AV27="NG",AV34="NG",AV51="NG",AV65="NG"),"↓フリガナには数字・記号を入れずカナのみご記入下さい。",IF(OR(B27=1,B48=1,B60=1,B104=1,B117=1),"↓未記入の箇所がございます。お手数ですが全て漏れなくご記入下さい。","")))))</f>
        <v>↓未記入の箇所がございます。お手数ですが全て漏れなくご記入下さい。</v>
      </c>
      <c r="D23" s="1256"/>
      <c r="E23" s="1256"/>
      <c r="F23" s="1256"/>
      <c r="G23" s="1256"/>
      <c r="H23" s="1256"/>
      <c r="I23" s="1256"/>
      <c r="J23" s="1256"/>
      <c r="K23" s="1256"/>
      <c r="L23" s="1256"/>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2"/>
      <c r="BG23" s="115" t="s">
        <v>811</v>
      </c>
      <c r="BK23" s="115" t="s">
        <v>2042</v>
      </c>
      <c r="BO23" s="115" t="s">
        <v>1204</v>
      </c>
      <c r="BP23" s="115" t="s">
        <v>1430</v>
      </c>
    </row>
    <row r="24" spans="1:68" ht="18.649999999999999" customHeight="1">
      <c r="A24" s="111"/>
      <c r="B24" s="181"/>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1257"/>
      <c r="AR24" s="1257"/>
      <c r="AS24" s="1257"/>
      <c r="AT24" s="1257"/>
      <c r="AU24" s="122"/>
      <c r="BG24" s="115" t="s">
        <v>812</v>
      </c>
      <c r="BK24" s="511" t="s">
        <v>2040</v>
      </c>
      <c r="BL24" s="115" t="s">
        <v>2043</v>
      </c>
      <c r="BO24" s="115" t="s">
        <v>1205</v>
      </c>
      <c r="BP24" s="115" t="s">
        <v>1431</v>
      </c>
    </row>
    <row r="25" spans="1:68" ht="18.649999999999999" customHeight="1">
      <c r="A25" s="111"/>
      <c r="B25" s="181"/>
      <c r="M25" s="1136" t="s">
        <v>945</v>
      </c>
      <c r="N25" s="1136"/>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22"/>
      <c r="BG25" s="115" t="s">
        <v>813</v>
      </c>
      <c r="BK25" s="511" t="s">
        <v>791</v>
      </c>
      <c r="BL25" s="115" t="s">
        <v>2044</v>
      </c>
      <c r="BO25" s="115" t="s">
        <v>1206</v>
      </c>
      <c r="BP25" s="115" t="s">
        <v>1432</v>
      </c>
    </row>
    <row r="26" spans="1:68" ht="18.649999999999999" customHeight="1" thickBot="1">
      <c r="A26" s="111"/>
      <c r="B26" s="181"/>
      <c r="D26" s="111"/>
      <c r="E26" s="111"/>
      <c r="F26" s="111"/>
      <c r="G26" s="111"/>
      <c r="H26" s="111"/>
      <c r="I26" s="111"/>
      <c r="J26" s="111"/>
      <c r="K26" s="111"/>
      <c r="L26" s="111"/>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22"/>
      <c r="BK26" s="511" t="s">
        <v>793</v>
      </c>
      <c r="BL26" s="115" t="s">
        <v>2034</v>
      </c>
      <c r="BO26" s="115" t="s">
        <v>1207</v>
      </c>
      <c r="BP26" s="115" t="s">
        <v>1433</v>
      </c>
    </row>
    <row r="27" spans="1:68" ht="18" customHeight="1">
      <c r="A27" s="111"/>
      <c r="B27" s="181">
        <f>IF(OR(AV21=0,I27="",I28="",O34="",Z34="",J35="",M35="",I36="",N36="",V36="",AD36="",I38="",O38="",T38="",K39="",N39="",Q39="",AA39="",AN39="",I40="",I43="",X43="",AV27="NG",AV31="NG",AV34="NG",AV36="00",AV43="NG"),1,0)</f>
        <v>1</v>
      </c>
      <c r="C27" s="1258" t="s">
        <v>390</v>
      </c>
      <c r="D27" s="1259"/>
      <c r="E27" s="1259"/>
      <c r="F27" s="1259"/>
      <c r="G27" s="1259"/>
      <c r="H27" s="1260"/>
      <c r="I27" s="1171" t="s">
        <v>2193</v>
      </c>
      <c r="J27" s="1172"/>
      <c r="K27" s="1172"/>
      <c r="L27" s="1172"/>
      <c r="M27" s="1172"/>
      <c r="N27" s="1172"/>
      <c r="O27" s="1172"/>
      <c r="P27" s="1172"/>
      <c r="Q27" s="1172"/>
      <c r="R27" s="1172"/>
      <c r="S27" s="1172"/>
      <c r="T27" s="1172"/>
      <c r="U27" s="1172"/>
      <c r="V27" s="1172"/>
      <c r="W27" s="1172"/>
      <c r="X27" s="1172"/>
      <c r="Y27" s="1172"/>
      <c r="Z27" s="1172"/>
      <c r="AA27" s="1172"/>
      <c r="AB27" s="1172"/>
      <c r="AC27" s="1172"/>
      <c r="AD27" s="1172"/>
      <c r="AE27" s="1172"/>
      <c r="AF27" s="1172"/>
      <c r="AG27" s="1172"/>
      <c r="AH27" s="1172"/>
      <c r="AI27" s="1172"/>
      <c r="AJ27" s="1172"/>
      <c r="AK27" s="1172"/>
      <c r="AL27" s="1172"/>
      <c r="AM27" s="1172"/>
      <c r="AN27" s="1172"/>
      <c r="AO27" s="1172"/>
      <c r="AP27" s="1172"/>
      <c r="AQ27" s="1172"/>
      <c r="AR27" s="1172"/>
      <c r="AS27" s="1172"/>
      <c r="AT27" s="1173"/>
      <c r="AU27" s="122"/>
      <c r="AV27" s="114" t="str">
        <f>IF(ISERROR(FIND({"１","２","３","４","５","６","７","８","９","０","1","2","3","4","5","6","7","8","9","0","-","―","－","-","・","！","!","@","&amp;","."},I27)),"OK","NG")</f>
        <v>OK</v>
      </c>
      <c r="BK27" s="511" t="s">
        <v>795</v>
      </c>
      <c r="BL27" s="115" t="s">
        <v>2044</v>
      </c>
      <c r="BO27" s="115" t="s">
        <v>1208</v>
      </c>
      <c r="BP27" s="115" t="s">
        <v>1434</v>
      </c>
    </row>
    <row r="28" spans="1:68" ht="18" customHeight="1">
      <c r="A28" s="111"/>
      <c r="B28" s="181"/>
      <c r="C28" s="1261" t="s">
        <v>3567</v>
      </c>
      <c r="D28" s="1262"/>
      <c r="E28" s="1262"/>
      <c r="F28" s="1262"/>
      <c r="G28" s="1262"/>
      <c r="H28" s="1263"/>
      <c r="I28" s="1270" t="s">
        <v>3843</v>
      </c>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c r="AN28" s="1271"/>
      <c r="AO28" s="1271"/>
      <c r="AP28" s="1271"/>
      <c r="AQ28" s="1271"/>
      <c r="AR28" s="1271"/>
      <c r="AS28" s="1271"/>
      <c r="AT28" s="1272"/>
      <c r="AU28" s="122"/>
      <c r="BK28" s="511" t="s">
        <v>797</v>
      </c>
      <c r="BL28" s="115" t="s">
        <v>2045</v>
      </c>
      <c r="BO28" s="115" t="s">
        <v>1209</v>
      </c>
      <c r="BP28" s="115" t="s">
        <v>1435</v>
      </c>
    </row>
    <row r="29" spans="1:68" ht="18" customHeight="1">
      <c r="A29" s="111"/>
      <c r="B29" s="181"/>
      <c r="C29" s="1264"/>
      <c r="D29" s="1265"/>
      <c r="E29" s="1265"/>
      <c r="F29" s="1265"/>
      <c r="G29" s="1265"/>
      <c r="H29" s="1266"/>
      <c r="I29" s="1177"/>
      <c r="J29" s="1178"/>
      <c r="K29" s="1178"/>
      <c r="L29" s="1178"/>
      <c r="M29" s="1178"/>
      <c r="N29" s="1178"/>
      <c r="O29" s="1178"/>
      <c r="P29" s="1178"/>
      <c r="Q29" s="1178"/>
      <c r="R29" s="1178"/>
      <c r="S29" s="1178"/>
      <c r="T29" s="1178"/>
      <c r="U29" s="1178"/>
      <c r="V29" s="1178"/>
      <c r="W29" s="1178"/>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178"/>
      <c r="AS29" s="1178"/>
      <c r="AT29" s="1179"/>
      <c r="AU29" s="122"/>
      <c r="BK29" s="511" t="s">
        <v>799</v>
      </c>
      <c r="BL29" s="115" t="s">
        <v>2046</v>
      </c>
      <c r="BO29" s="115" t="s">
        <v>1210</v>
      </c>
      <c r="BP29" s="115" t="s">
        <v>1436</v>
      </c>
    </row>
    <row r="30" spans="1:68" ht="18" customHeight="1">
      <c r="A30" s="111"/>
      <c r="B30" s="181"/>
      <c r="C30" s="1267"/>
      <c r="D30" s="1268"/>
      <c r="E30" s="1268"/>
      <c r="F30" s="1268"/>
      <c r="G30" s="1268"/>
      <c r="H30" s="1269"/>
      <c r="I30" s="1180"/>
      <c r="J30" s="1181"/>
      <c r="K30" s="1181"/>
      <c r="L30" s="1181"/>
      <c r="M30" s="1181"/>
      <c r="N30" s="1181"/>
      <c r="O30" s="1181"/>
      <c r="P30" s="1181"/>
      <c r="Q30" s="1181"/>
      <c r="R30" s="1181"/>
      <c r="S30" s="1181"/>
      <c r="T30" s="1181"/>
      <c r="U30" s="1181"/>
      <c r="V30" s="1181"/>
      <c r="W30" s="1181"/>
      <c r="X30" s="1181"/>
      <c r="Y30" s="1181"/>
      <c r="Z30" s="1181"/>
      <c r="AA30" s="1181"/>
      <c r="AB30" s="1181"/>
      <c r="AC30" s="1181"/>
      <c r="AD30" s="1181"/>
      <c r="AE30" s="1181"/>
      <c r="AF30" s="1181"/>
      <c r="AG30" s="1181"/>
      <c r="AH30" s="1181"/>
      <c r="AI30" s="1181"/>
      <c r="AJ30" s="1181"/>
      <c r="AK30" s="1181"/>
      <c r="AL30" s="1181"/>
      <c r="AM30" s="1181"/>
      <c r="AN30" s="1181"/>
      <c r="AO30" s="1181"/>
      <c r="AP30" s="1181"/>
      <c r="AQ30" s="1181"/>
      <c r="AR30" s="1181"/>
      <c r="AS30" s="1181"/>
      <c r="AT30" s="1182"/>
      <c r="AU30" s="122"/>
      <c r="BK30" s="511" t="s">
        <v>800</v>
      </c>
      <c r="BL30" s="115" t="s">
        <v>2043</v>
      </c>
      <c r="BO30" s="115" t="s">
        <v>1211</v>
      </c>
      <c r="BP30" s="115" t="s">
        <v>1437</v>
      </c>
    </row>
    <row r="31" spans="1:68" ht="18" customHeight="1">
      <c r="A31" s="111"/>
      <c r="B31" s="181"/>
      <c r="C31" s="1164" t="s">
        <v>3568</v>
      </c>
      <c r="D31" s="1240"/>
      <c r="E31" s="1240"/>
      <c r="F31" s="1240"/>
      <c r="G31" s="1240"/>
      <c r="H31" s="1241"/>
      <c r="I31" s="1273" t="s">
        <v>3570</v>
      </c>
      <c r="J31" s="1274"/>
      <c r="K31" s="1274"/>
      <c r="L31" s="1274"/>
      <c r="M31" s="1274"/>
      <c r="N31" s="1274"/>
      <c r="O31" s="1274"/>
      <c r="P31" s="1274"/>
      <c r="Q31" s="1274"/>
      <c r="R31" s="1274"/>
      <c r="S31" s="1274"/>
      <c r="T31" s="1274"/>
      <c r="U31" s="1274"/>
      <c r="V31" s="1274"/>
      <c r="W31" s="1274"/>
      <c r="X31" s="1274"/>
      <c r="Y31" s="1279" t="s">
        <v>3569</v>
      </c>
      <c r="Z31" s="1240"/>
      <c r="AA31" s="1240"/>
      <c r="AB31" s="1240"/>
      <c r="AC31" s="1240"/>
      <c r="AD31" s="1241"/>
      <c r="AE31" s="1282" t="s">
        <v>3571</v>
      </c>
      <c r="AF31" s="1283"/>
      <c r="AG31" s="1283"/>
      <c r="AH31" s="1283"/>
      <c r="AI31" s="1283"/>
      <c r="AJ31" s="1283"/>
      <c r="AK31" s="1283"/>
      <c r="AL31" s="1283"/>
      <c r="AM31" s="1283"/>
      <c r="AN31" s="1283"/>
      <c r="AO31" s="1283"/>
      <c r="AP31" s="1283"/>
      <c r="AQ31" s="1283"/>
      <c r="AR31" s="1283"/>
      <c r="AS31" s="1283"/>
      <c r="AT31" s="1284"/>
      <c r="AU31" s="122"/>
      <c r="AV31" s="114" t="str">
        <f>IF(AV2=FALSE,"OK",IF(AND(AV2=TRUE,I31&lt;&gt;""),"OK","NG"))</f>
        <v>OK</v>
      </c>
      <c r="BO31" s="115" t="s">
        <v>1212</v>
      </c>
      <c r="BP31" s="115" t="s">
        <v>1438</v>
      </c>
    </row>
    <row r="32" spans="1:68" ht="18" customHeight="1">
      <c r="A32" s="111"/>
      <c r="B32" s="181"/>
      <c r="C32" s="1200"/>
      <c r="D32" s="1201"/>
      <c r="E32" s="1201"/>
      <c r="F32" s="1201"/>
      <c r="G32" s="1201"/>
      <c r="H32" s="1202"/>
      <c r="I32" s="1275"/>
      <c r="J32" s="1276"/>
      <c r="K32" s="1276"/>
      <c r="L32" s="1276"/>
      <c r="M32" s="1276"/>
      <c r="N32" s="1276"/>
      <c r="O32" s="1276"/>
      <c r="P32" s="1276"/>
      <c r="Q32" s="1276"/>
      <c r="R32" s="1276"/>
      <c r="S32" s="1276"/>
      <c r="T32" s="1276"/>
      <c r="U32" s="1276"/>
      <c r="V32" s="1276"/>
      <c r="W32" s="1276"/>
      <c r="X32" s="1276"/>
      <c r="Y32" s="1280"/>
      <c r="Z32" s="1201"/>
      <c r="AA32" s="1201"/>
      <c r="AB32" s="1201"/>
      <c r="AC32" s="1201"/>
      <c r="AD32" s="1202"/>
      <c r="AE32" s="1177"/>
      <c r="AF32" s="1178"/>
      <c r="AG32" s="1178"/>
      <c r="AH32" s="1178"/>
      <c r="AI32" s="1178"/>
      <c r="AJ32" s="1178"/>
      <c r="AK32" s="1178"/>
      <c r="AL32" s="1178"/>
      <c r="AM32" s="1178"/>
      <c r="AN32" s="1178"/>
      <c r="AO32" s="1178"/>
      <c r="AP32" s="1178"/>
      <c r="AQ32" s="1178"/>
      <c r="AR32" s="1178"/>
      <c r="AS32" s="1178"/>
      <c r="AT32" s="1179"/>
      <c r="AU32" s="122"/>
      <c r="BO32" s="115" t="s">
        <v>1213</v>
      </c>
      <c r="BP32" s="115" t="s">
        <v>1439</v>
      </c>
    </row>
    <row r="33" spans="1:72" ht="18" customHeight="1">
      <c r="A33" s="111"/>
      <c r="B33" s="181"/>
      <c r="C33" s="1242"/>
      <c r="D33" s="1243"/>
      <c r="E33" s="1243"/>
      <c r="F33" s="1243"/>
      <c r="G33" s="1243"/>
      <c r="H33" s="1244"/>
      <c r="I33" s="1277"/>
      <c r="J33" s="1278"/>
      <c r="K33" s="1278"/>
      <c r="L33" s="1278"/>
      <c r="M33" s="1278"/>
      <c r="N33" s="1278"/>
      <c r="O33" s="1278"/>
      <c r="P33" s="1278"/>
      <c r="Q33" s="1278"/>
      <c r="R33" s="1278"/>
      <c r="S33" s="1278"/>
      <c r="T33" s="1278"/>
      <c r="U33" s="1278"/>
      <c r="V33" s="1278"/>
      <c r="W33" s="1278"/>
      <c r="X33" s="1278"/>
      <c r="Y33" s="1281"/>
      <c r="Z33" s="1243"/>
      <c r="AA33" s="1243"/>
      <c r="AB33" s="1243"/>
      <c r="AC33" s="1243"/>
      <c r="AD33" s="1244"/>
      <c r="AE33" s="1180"/>
      <c r="AF33" s="1181"/>
      <c r="AG33" s="1181"/>
      <c r="AH33" s="1181"/>
      <c r="AI33" s="1181"/>
      <c r="AJ33" s="1181"/>
      <c r="AK33" s="1181"/>
      <c r="AL33" s="1181"/>
      <c r="AM33" s="1181"/>
      <c r="AN33" s="1181"/>
      <c r="AO33" s="1181"/>
      <c r="AP33" s="1181"/>
      <c r="AQ33" s="1181"/>
      <c r="AR33" s="1181"/>
      <c r="AS33" s="1181"/>
      <c r="AT33" s="1182"/>
      <c r="AU33" s="122"/>
      <c r="BO33" s="115" t="s">
        <v>1214</v>
      </c>
      <c r="BP33" s="115" t="s">
        <v>1440</v>
      </c>
    </row>
    <row r="34" spans="1:72" ht="18" customHeight="1">
      <c r="A34" s="111"/>
      <c r="B34" s="181"/>
      <c r="C34" s="1245" t="s">
        <v>2026</v>
      </c>
      <c r="D34" s="1246"/>
      <c r="E34" s="1246"/>
      <c r="F34" s="1246"/>
      <c r="G34" s="1246"/>
      <c r="H34" s="1247"/>
      <c r="I34" s="397"/>
      <c r="J34" s="1248" t="str">
        <f>VLOOKUP(I36,BO2:BP49,2,FALSE)</f>
        <v>トウキョウト</v>
      </c>
      <c r="K34" s="1248"/>
      <c r="L34" s="1248"/>
      <c r="M34" s="1249"/>
      <c r="N34" s="503"/>
      <c r="O34" s="1285" t="s">
        <v>4420</v>
      </c>
      <c r="P34" s="1285"/>
      <c r="Q34" s="1285"/>
      <c r="R34" s="1285"/>
      <c r="S34" s="1285"/>
      <c r="T34" s="1285"/>
      <c r="U34" s="1286"/>
      <c r="V34" s="503"/>
      <c r="W34" s="1285" t="s">
        <v>4421</v>
      </c>
      <c r="X34" s="1285"/>
      <c r="Y34" s="1285"/>
      <c r="Z34" s="1285"/>
      <c r="AA34" s="1285"/>
      <c r="AB34" s="1285"/>
      <c r="AC34" s="1286"/>
      <c r="AD34" s="503"/>
      <c r="AE34" s="1285" t="s">
        <v>4422</v>
      </c>
      <c r="AF34" s="1285"/>
      <c r="AG34" s="1285"/>
      <c r="AH34" s="1285"/>
      <c r="AI34" s="1285"/>
      <c r="AJ34" s="1285"/>
      <c r="AK34" s="1286"/>
      <c r="AL34" s="503"/>
      <c r="AM34" s="1287"/>
      <c r="AN34" s="1287"/>
      <c r="AO34" s="1287"/>
      <c r="AP34" s="1287"/>
      <c r="AQ34" s="1287"/>
      <c r="AR34" s="1287"/>
      <c r="AS34" s="1287"/>
      <c r="AT34" s="1288"/>
      <c r="AU34" s="122"/>
      <c r="AV34" s="114" t="str">
        <f>IF(ISERROR(FIND({"１","２","３","４","５","６","７","８","９","０","1","2","3","4","5","6","7","8","9","0","-","―","－","-","・","！","!","@","&amp;","."},O34&amp;Z34&amp;AK34)),"OK","NG")</f>
        <v>OK</v>
      </c>
      <c r="BO34" s="115" t="s">
        <v>1215</v>
      </c>
      <c r="BP34" s="115" t="s">
        <v>1441</v>
      </c>
    </row>
    <row r="35" spans="1:72" ht="18" customHeight="1">
      <c r="A35" s="111"/>
      <c r="B35" s="181"/>
      <c r="C35" s="1261" t="s">
        <v>946</v>
      </c>
      <c r="D35" s="1305"/>
      <c r="E35" s="1305"/>
      <c r="F35" s="1305"/>
      <c r="G35" s="1305"/>
      <c r="H35" s="1306"/>
      <c r="I35" s="504" t="s">
        <v>2027</v>
      </c>
      <c r="J35" s="1313" t="s">
        <v>2194</v>
      </c>
      <c r="K35" s="1313"/>
      <c r="L35" s="505" t="s">
        <v>2028</v>
      </c>
      <c r="M35" s="1314" t="s">
        <v>2195</v>
      </c>
      <c r="N35" s="1314"/>
      <c r="O35" s="505"/>
      <c r="P35" s="505"/>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7"/>
      <c r="AU35" s="122"/>
      <c r="BO35" s="115" t="s">
        <v>1216</v>
      </c>
      <c r="BP35" s="115" t="s">
        <v>1442</v>
      </c>
    </row>
    <row r="36" spans="1:72" ht="18" customHeight="1">
      <c r="A36" s="111"/>
      <c r="B36" s="181"/>
      <c r="C36" s="1307"/>
      <c r="D36" s="1308"/>
      <c r="E36" s="1308"/>
      <c r="F36" s="1308"/>
      <c r="G36" s="1308"/>
      <c r="H36" s="1309"/>
      <c r="I36" s="1315" t="s">
        <v>1196</v>
      </c>
      <c r="J36" s="1316"/>
      <c r="K36" s="1316"/>
      <c r="L36" s="1316"/>
      <c r="M36" s="1316"/>
      <c r="N36" s="1291" t="s">
        <v>2196</v>
      </c>
      <c r="O36" s="1291"/>
      <c r="P36" s="1291"/>
      <c r="Q36" s="1291"/>
      <c r="R36" s="1291"/>
      <c r="S36" s="1291"/>
      <c r="T36" s="1291"/>
      <c r="U36" s="1291"/>
      <c r="V36" s="1291" t="s">
        <v>2197</v>
      </c>
      <c r="W36" s="1291"/>
      <c r="X36" s="1291"/>
      <c r="Y36" s="1291"/>
      <c r="Z36" s="1291"/>
      <c r="AA36" s="1291"/>
      <c r="AB36" s="1291"/>
      <c r="AC36" s="1291"/>
      <c r="AD36" s="1289" t="s">
        <v>2198</v>
      </c>
      <c r="AE36" s="1289"/>
      <c r="AF36" s="1289"/>
      <c r="AG36" s="1289"/>
      <c r="AH36" s="1289"/>
      <c r="AI36" s="1289"/>
      <c r="AJ36" s="1289"/>
      <c r="AK36" s="1289"/>
      <c r="AL36" s="1291"/>
      <c r="AM36" s="1291"/>
      <c r="AN36" s="1291"/>
      <c r="AO36" s="1291"/>
      <c r="AP36" s="1291"/>
      <c r="AQ36" s="1291"/>
      <c r="AR36" s="1291"/>
      <c r="AS36" s="1291"/>
      <c r="AT36" s="1292"/>
      <c r="AU36" s="122"/>
      <c r="AV36" s="114" t="str">
        <f>LEFT(I36,2)</f>
        <v>13</v>
      </c>
      <c r="AW36" s="114" t="str">
        <f>MID(I36,4,LEN(I36)-3)</f>
        <v>東京都</v>
      </c>
      <c r="BO36" s="115" t="s">
        <v>1217</v>
      </c>
      <c r="BP36" s="115" t="s">
        <v>1443</v>
      </c>
    </row>
    <row r="37" spans="1:72" ht="18" customHeight="1">
      <c r="A37" s="111"/>
      <c r="B37" s="181"/>
      <c r="C37" s="1310"/>
      <c r="D37" s="1311"/>
      <c r="E37" s="1311"/>
      <c r="F37" s="1311"/>
      <c r="G37" s="1311"/>
      <c r="H37" s="1312"/>
      <c r="I37" s="1317"/>
      <c r="J37" s="1318"/>
      <c r="K37" s="1318"/>
      <c r="L37" s="1318"/>
      <c r="M37" s="1318"/>
      <c r="N37" s="1293"/>
      <c r="O37" s="1293"/>
      <c r="P37" s="1293"/>
      <c r="Q37" s="1293"/>
      <c r="R37" s="1293"/>
      <c r="S37" s="1293"/>
      <c r="T37" s="1293"/>
      <c r="U37" s="1293"/>
      <c r="V37" s="1293"/>
      <c r="W37" s="1293"/>
      <c r="X37" s="1293"/>
      <c r="Y37" s="1293"/>
      <c r="Z37" s="1293"/>
      <c r="AA37" s="1293"/>
      <c r="AB37" s="1293"/>
      <c r="AC37" s="1293"/>
      <c r="AD37" s="1290"/>
      <c r="AE37" s="1290"/>
      <c r="AF37" s="1290"/>
      <c r="AG37" s="1290"/>
      <c r="AH37" s="1290"/>
      <c r="AI37" s="1290"/>
      <c r="AJ37" s="1290"/>
      <c r="AK37" s="1290"/>
      <c r="AL37" s="1293"/>
      <c r="AM37" s="1293"/>
      <c r="AN37" s="1293"/>
      <c r="AO37" s="1293"/>
      <c r="AP37" s="1293"/>
      <c r="AQ37" s="1293"/>
      <c r="AR37" s="1293"/>
      <c r="AS37" s="1293"/>
      <c r="AT37" s="1294"/>
      <c r="AU37" s="122"/>
      <c r="BO37" s="115" t="s">
        <v>1218</v>
      </c>
      <c r="BP37" s="115" t="s">
        <v>1444</v>
      </c>
    </row>
    <row r="38" spans="1:72" ht="18" customHeight="1">
      <c r="A38" s="111"/>
      <c r="B38" s="181"/>
      <c r="C38" s="1295" t="s">
        <v>398</v>
      </c>
      <c r="D38" s="1296"/>
      <c r="E38" s="1296"/>
      <c r="F38" s="1296"/>
      <c r="G38" s="1296"/>
      <c r="H38" s="1297"/>
      <c r="I38" s="1298" t="s">
        <v>2199</v>
      </c>
      <c r="J38" s="1299"/>
      <c r="K38" s="1299"/>
      <c r="L38" s="1299"/>
      <c r="M38" s="1299"/>
      <c r="N38" s="350" t="s">
        <v>1231</v>
      </c>
      <c r="O38" s="1299" t="s">
        <v>2200</v>
      </c>
      <c r="P38" s="1299"/>
      <c r="Q38" s="1299"/>
      <c r="R38" s="1299"/>
      <c r="S38" s="350" t="s">
        <v>1182</v>
      </c>
      <c r="T38" s="1299" t="s">
        <v>2201</v>
      </c>
      <c r="U38" s="1299"/>
      <c r="V38" s="1299"/>
      <c r="W38" s="1299"/>
      <c r="X38" s="1300"/>
      <c r="Y38" s="1301" t="s">
        <v>399</v>
      </c>
      <c r="Z38" s="1302"/>
      <c r="AA38" s="1302"/>
      <c r="AB38" s="1302"/>
      <c r="AC38" s="1302"/>
      <c r="AD38" s="1303"/>
      <c r="AE38" s="1298"/>
      <c r="AF38" s="1299"/>
      <c r="AG38" s="1299"/>
      <c r="AH38" s="1299"/>
      <c r="AI38" s="1299"/>
      <c r="AJ38" s="350" t="s">
        <v>1231</v>
      </c>
      <c r="AK38" s="1299"/>
      <c r="AL38" s="1299"/>
      <c r="AM38" s="1299"/>
      <c r="AN38" s="1299"/>
      <c r="AO38" s="350" t="s">
        <v>1182</v>
      </c>
      <c r="AP38" s="1299"/>
      <c r="AQ38" s="1299"/>
      <c r="AR38" s="1299"/>
      <c r="AS38" s="1299"/>
      <c r="AT38" s="1304"/>
      <c r="AU38" s="122"/>
      <c r="AV38" s="114" t="str">
        <f>IF(AND(I38&lt;&gt;"",O38&lt;&gt;"",T38&lt;&gt;""),IF(LENB(I38)+LENB(O38)+LENB(T38)&lt;13,"OK","NG"),"OK")</f>
        <v>OK</v>
      </c>
      <c r="AW38" s="114" t="str">
        <f>IF(AND(AE38&lt;&gt;"",AK38&lt;&gt;"",AP38&lt;&gt;""),IF(LENB(AE38)+LENB(AK38)+LENB(AP38)&lt;13,"OK","NG"),"OK")</f>
        <v>OK</v>
      </c>
      <c r="BO38" s="115" t="s">
        <v>1219</v>
      </c>
      <c r="BP38" s="115" t="s">
        <v>1445</v>
      </c>
    </row>
    <row r="39" spans="1:72" ht="18" customHeight="1">
      <c r="A39" s="111"/>
      <c r="B39" s="181"/>
      <c r="C39" s="1295" t="s">
        <v>401</v>
      </c>
      <c r="D39" s="1296"/>
      <c r="E39" s="1296"/>
      <c r="F39" s="1296"/>
      <c r="G39" s="1296"/>
      <c r="H39" s="1297"/>
      <c r="I39" s="1323" t="s">
        <v>380</v>
      </c>
      <c r="J39" s="1324"/>
      <c r="K39" s="1325">
        <v>2000</v>
      </c>
      <c r="L39" s="1325"/>
      <c r="M39" s="127" t="s">
        <v>381</v>
      </c>
      <c r="N39" s="1326">
        <v>1</v>
      </c>
      <c r="O39" s="1326"/>
      <c r="P39" s="128" t="s">
        <v>382</v>
      </c>
      <c r="Q39" s="1326">
        <v>1</v>
      </c>
      <c r="R39" s="1326"/>
      <c r="S39" s="1320" t="s">
        <v>383</v>
      </c>
      <c r="T39" s="1321"/>
      <c r="U39" s="1301" t="s">
        <v>402</v>
      </c>
      <c r="V39" s="1302"/>
      <c r="W39" s="1302"/>
      <c r="X39" s="1302"/>
      <c r="Y39" s="1302"/>
      <c r="Z39" s="1303"/>
      <c r="AA39" s="1319">
        <v>1000</v>
      </c>
      <c r="AB39" s="1319"/>
      <c r="AC39" s="1319"/>
      <c r="AD39" s="1319"/>
      <c r="AE39" s="1319"/>
      <c r="AF39" s="1320" t="s">
        <v>403</v>
      </c>
      <c r="AG39" s="1321"/>
      <c r="AH39" s="1301" t="s">
        <v>404</v>
      </c>
      <c r="AI39" s="1302"/>
      <c r="AJ39" s="1302"/>
      <c r="AK39" s="1302"/>
      <c r="AL39" s="1302"/>
      <c r="AM39" s="1303"/>
      <c r="AN39" s="1319">
        <v>10000</v>
      </c>
      <c r="AO39" s="1319"/>
      <c r="AP39" s="1319"/>
      <c r="AQ39" s="1319"/>
      <c r="AR39" s="1319"/>
      <c r="AS39" s="1320" t="s">
        <v>403</v>
      </c>
      <c r="AT39" s="1322"/>
      <c r="AU39" s="122"/>
      <c r="BO39" s="115" t="s">
        <v>1220</v>
      </c>
      <c r="BP39" s="115" t="s">
        <v>1446</v>
      </c>
    </row>
    <row r="40" spans="1:72" ht="18" customHeight="1">
      <c r="A40" s="111"/>
      <c r="B40" s="181"/>
      <c r="C40" s="1327" t="s">
        <v>817</v>
      </c>
      <c r="D40" s="1328"/>
      <c r="E40" s="1328"/>
      <c r="F40" s="1328"/>
      <c r="G40" s="1328"/>
      <c r="H40" s="1329"/>
      <c r="I40" s="1330" t="s">
        <v>2202</v>
      </c>
      <c r="J40" s="1331"/>
      <c r="K40" s="1331"/>
      <c r="L40" s="1331"/>
      <c r="M40" s="1331"/>
      <c r="N40" s="1331"/>
      <c r="O40" s="1331"/>
      <c r="P40" s="1331"/>
      <c r="Q40" s="1331"/>
      <c r="R40" s="1331"/>
      <c r="S40" s="1331"/>
      <c r="T40" s="1331"/>
      <c r="U40" s="1331"/>
      <c r="V40" s="1331"/>
      <c r="W40" s="1331"/>
      <c r="X40" s="1331"/>
      <c r="Y40" s="1331"/>
      <c r="Z40" s="1331"/>
      <c r="AA40" s="1331"/>
      <c r="AB40" s="1331"/>
      <c r="AC40" s="1331"/>
      <c r="AD40" s="1331"/>
      <c r="AE40" s="1331"/>
      <c r="AF40" s="1331"/>
      <c r="AG40" s="1331"/>
      <c r="AH40" s="1331"/>
      <c r="AI40" s="1331"/>
      <c r="AJ40" s="1331"/>
      <c r="AK40" s="1331"/>
      <c r="AL40" s="1331"/>
      <c r="AM40" s="1331"/>
      <c r="AN40" s="1331"/>
      <c r="AO40" s="1331"/>
      <c r="AP40" s="1331"/>
      <c r="AQ40" s="1331"/>
      <c r="AR40" s="1331"/>
      <c r="AS40" s="1331"/>
      <c r="AT40" s="1332"/>
      <c r="AU40" s="122"/>
      <c r="BO40" s="115" t="s">
        <v>1221</v>
      </c>
      <c r="BP40" s="115" t="s">
        <v>1447</v>
      </c>
    </row>
    <row r="41" spans="1:72" ht="18" customHeight="1">
      <c r="A41" s="111"/>
      <c r="B41" s="181"/>
      <c r="C41" s="1242"/>
      <c r="D41" s="1243"/>
      <c r="E41" s="1243"/>
      <c r="F41" s="1243"/>
      <c r="G41" s="1243"/>
      <c r="H41" s="1244"/>
      <c r="I41" s="1180"/>
      <c r="J41" s="1181"/>
      <c r="K41" s="1181"/>
      <c r="L41" s="1181"/>
      <c r="M41" s="1181"/>
      <c r="N41" s="1181"/>
      <c r="O41" s="1181"/>
      <c r="P41" s="1181"/>
      <c r="Q41" s="1181"/>
      <c r="R41" s="1181"/>
      <c r="S41" s="1181"/>
      <c r="T41" s="1181"/>
      <c r="U41" s="1181"/>
      <c r="V41" s="1181"/>
      <c r="W41" s="1181"/>
      <c r="X41" s="1181"/>
      <c r="Y41" s="1181"/>
      <c r="Z41" s="1181"/>
      <c r="AA41" s="1181"/>
      <c r="AB41" s="1181"/>
      <c r="AC41" s="1181"/>
      <c r="AD41" s="1181"/>
      <c r="AE41" s="1181"/>
      <c r="AF41" s="1181"/>
      <c r="AG41" s="1181"/>
      <c r="AH41" s="1181"/>
      <c r="AI41" s="1181"/>
      <c r="AJ41" s="1181"/>
      <c r="AK41" s="1181"/>
      <c r="AL41" s="1181"/>
      <c r="AM41" s="1181"/>
      <c r="AN41" s="1181"/>
      <c r="AO41" s="1181"/>
      <c r="AP41" s="1181"/>
      <c r="AQ41" s="1181"/>
      <c r="AR41" s="1181"/>
      <c r="AS41" s="1181"/>
      <c r="AT41" s="1182"/>
      <c r="AU41" s="122"/>
      <c r="BO41" s="115" t="s">
        <v>1222</v>
      </c>
      <c r="BP41" s="123" t="s">
        <v>1448</v>
      </c>
      <c r="BQ41" s="224"/>
    </row>
    <row r="42" spans="1:72" ht="18.649999999999999" customHeight="1">
      <c r="A42" s="111"/>
      <c r="B42" s="181"/>
      <c r="C42" s="1333" t="s">
        <v>821</v>
      </c>
      <c r="D42" s="1328"/>
      <c r="E42" s="1328"/>
      <c r="F42" s="1328"/>
      <c r="G42" s="1328"/>
      <c r="H42" s="1329"/>
      <c r="I42" s="1334" t="s">
        <v>2203</v>
      </c>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1335"/>
      <c r="AT42" s="1336"/>
      <c r="AU42" s="122"/>
      <c r="BO42" s="123" t="s">
        <v>1223</v>
      </c>
      <c r="BP42" s="123" t="s">
        <v>1449</v>
      </c>
      <c r="BQ42" s="224"/>
    </row>
    <row r="43" spans="1:72" ht="18.649999999999999" customHeight="1" thickBot="1">
      <c r="A43" s="111"/>
      <c r="B43" s="181"/>
      <c r="C43" s="1337" t="s">
        <v>863</v>
      </c>
      <c r="D43" s="1338"/>
      <c r="E43" s="1338"/>
      <c r="F43" s="1338"/>
      <c r="G43" s="1338"/>
      <c r="H43" s="1339"/>
      <c r="I43" s="1340">
        <v>30</v>
      </c>
      <c r="J43" s="1341"/>
      <c r="K43" s="1341"/>
      <c r="L43" s="1341"/>
      <c r="M43" s="1341"/>
      <c r="N43" s="1341"/>
      <c r="O43" s="1342" t="s">
        <v>814</v>
      </c>
      <c r="P43" s="1342"/>
      <c r="Q43" s="1343"/>
      <c r="R43" s="1344" t="s">
        <v>815</v>
      </c>
      <c r="S43" s="1338"/>
      <c r="T43" s="1338"/>
      <c r="U43" s="1338"/>
      <c r="V43" s="1338"/>
      <c r="W43" s="1339"/>
      <c r="X43" s="1340">
        <v>100</v>
      </c>
      <c r="Y43" s="1341"/>
      <c r="Z43" s="1341"/>
      <c r="AA43" s="1341"/>
      <c r="AB43" s="1341"/>
      <c r="AC43" s="1342" t="s">
        <v>816</v>
      </c>
      <c r="AD43" s="1342"/>
      <c r="AE43" s="1342"/>
      <c r="AF43" s="1344" t="s">
        <v>1075</v>
      </c>
      <c r="AG43" s="1338"/>
      <c r="AH43" s="1338"/>
      <c r="AI43" s="1338"/>
      <c r="AJ43" s="1338"/>
      <c r="AK43" s="1339"/>
      <c r="AL43" s="1345" t="s">
        <v>2204</v>
      </c>
      <c r="AM43" s="1346"/>
      <c r="AN43" s="1346"/>
      <c r="AO43" s="1346"/>
      <c r="AP43" s="1346"/>
      <c r="AQ43" s="1346"/>
      <c r="AR43" s="1346"/>
      <c r="AS43" s="1346"/>
      <c r="AT43" s="1347"/>
      <c r="AU43" s="122"/>
      <c r="AV43" s="114" t="str">
        <f>IF(OR(LEN(AL43)=13,AV13=2),"OK","NG")</f>
        <v>OK</v>
      </c>
      <c r="AZ43" s="341"/>
      <c r="BO43" s="123" t="s">
        <v>1224</v>
      </c>
      <c r="BP43" s="132" t="s">
        <v>1450</v>
      </c>
      <c r="BQ43" s="225"/>
      <c r="BR43" s="132"/>
      <c r="BS43" s="132"/>
      <c r="BT43" s="132"/>
    </row>
    <row r="44" spans="1:72" ht="18.649999999999999" customHeight="1">
      <c r="A44" s="111"/>
      <c r="B44" s="181"/>
      <c r="C44" s="129"/>
      <c r="D44" s="129"/>
      <c r="E44" s="129"/>
      <c r="F44" s="129"/>
      <c r="G44" s="129"/>
      <c r="H44" s="129"/>
      <c r="I44" s="479"/>
      <c r="J44" s="339"/>
      <c r="K44" s="339"/>
      <c r="L44" s="339"/>
      <c r="M44" s="339"/>
      <c r="N44" s="339"/>
      <c r="O44" s="339"/>
      <c r="P44" s="339"/>
      <c r="Q44" s="339"/>
      <c r="R44" s="339"/>
      <c r="S44" s="339"/>
      <c r="T44" s="339"/>
      <c r="U44" s="339"/>
      <c r="V44" s="339"/>
      <c r="W44" s="339"/>
      <c r="X44" s="314"/>
      <c r="Y44" s="314"/>
      <c r="Z44" s="314"/>
      <c r="AA44" s="1348" t="s">
        <v>1076</v>
      </c>
      <c r="AB44" s="1348"/>
      <c r="AC44" s="1348"/>
      <c r="AD44" s="1348"/>
      <c r="AE44" s="1348"/>
      <c r="AF44" s="1348"/>
      <c r="AG44" s="1348"/>
      <c r="AH44" s="1348"/>
      <c r="AI44" s="1348"/>
      <c r="AJ44" s="1348"/>
      <c r="AK44" s="1348"/>
      <c r="AL44" s="1348"/>
      <c r="AM44" s="1348"/>
      <c r="AN44" s="1348"/>
      <c r="AO44" s="1348"/>
      <c r="AP44" s="1348"/>
      <c r="AQ44" s="1348"/>
      <c r="AR44" s="1348"/>
      <c r="AS44" s="1348"/>
      <c r="AT44" s="1348"/>
      <c r="AU44" s="122"/>
      <c r="AZ44" s="341"/>
      <c r="BI44" s="123"/>
      <c r="BJ44" s="123"/>
      <c r="BK44" s="123"/>
      <c r="BL44" s="123"/>
      <c r="BM44" s="123"/>
      <c r="BN44" s="123"/>
      <c r="BO44" s="132" t="s">
        <v>1225</v>
      </c>
      <c r="BP44" s="115" t="s">
        <v>1451</v>
      </c>
    </row>
    <row r="45" spans="1:72" ht="18.649999999999999" customHeight="1">
      <c r="A45" s="111"/>
      <c r="B45" s="181"/>
      <c r="C45" s="129"/>
      <c r="D45" s="129"/>
      <c r="E45" s="129"/>
      <c r="F45" s="129"/>
      <c r="G45" s="129"/>
      <c r="H45" s="129"/>
      <c r="I45" s="480"/>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122"/>
      <c r="BI45" s="123"/>
      <c r="BJ45" s="123"/>
      <c r="BK45" s="123"/>
      <c r="BL45" s="123"/>
      <c r="BM45" s="123"/>
      <c r="BN45" s="123"/>
      <c r="BO45" s="115" t="s">
        <v>1226</v>
      </c>
      <c r="BP45" s="115" t="s">
        <v>1452</v>
      </c>
    </row>
    <row r="46" spans="1:72" ht="18.649999999999999" customHeight="1">
      <c r="A46" s="111"/>
      <c r="B46" s="181"/>
      <c r="C46" s="129"/>
      <c r="D46" s="129"/>
      <c r="E46" s="129"/>
      <c r="F46" s="129"/>
      <c r="G46" s="129"/>
      <c r="H46" s="129"/>
      <c r="I46" s="481"/>
      <c r="J46" s="339"/>
      <c r="K46" s="339"/>
      <c r="L46" s="339"/>
      <c r="M46" s="1136" t="s">
        <v>949</v>
      </c>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22"/>
      <c r="BI46" s="132"/>
      <c r="BJ46" s="132"/>
      <c r="BK46" s="132"/>
      <c r="BL46" s="132"/>
      <c r="BM46" s="132"/>
      <c r="BN46" s="132"/>
      <c r="BO46" s="115" t="s">
        <v>1227</v>
      </c>
      <c r="BP46" s="115" t="s">
        <v>1453</v>
      </c>
    </row>
    <row r="47" spans="1:72" ht="18.649999999999999" customHeight="1" thickBot="1">
      <c r="A47" s="111"/>
      <c r="B47" s="181"/>
      <c r="C47" s="129"/>
      <c r="D47" s="129"/>
      <c r="E47" s="129"/>
      <c r="F47" s="129"/>
      <c r="G47" s="129"/>
      <c r="H47" s="129"/>
      <c r="I47" s="481"/>
      <c r="J47" s="339"/>
      <c r="K47" s="339"/>
      <c r="L47" s="339"/>
      <c r="M47" s="1136"/>
      <c r="N47" s="1136"/>
      <c r="O47" s="1136"/>
      <c r="P47" s="1136"/>
      <c r="Q47" s="1136"/>
      <c r="R47" s="1137"/>
      <c r="S47" s="1137"/>
      <c r="T47" s="1137"/>
      <c r="U47" s="1137"/>
      <c r="V47" s="1137"/>
      <c r="W47" s="1137"/>
      <c r="X47" s="1137"/>
      <c r="Y47" s="1137"/>
      <c r="Z47" s="1137"/>
      <c r="AA47" s="1137"/>
      <c r="AB47" s="1137"/>
      <c r="AC47" s="1137"/>
      <c r="AD47" s="1137"/>
      <c r="AE47" s="1137"/>
      <c r="AF47" s="1137"/>
      <c r="AG47" s="1137"/>
      <c r="AH47" s="1137"/>
      <c r="AI47" s="1137"/>
      <c r="AJ47" s="1137"/>
      <c r="AK47" s="1137"/>
      <c r="AL47" s="1137"/>
      <c r="AM47" s="1137"/>
      <c r="AN47" s="1137"/>
      <c r="AO47" s="1137"/>
      <c r="AP47" s="1137"/>
      <c r="AQ47" s="1137"/>
      <c r="AR47" s="1137"/>
      <c r="AS47" s="1137"/>
      <c r="AT47" s="1137"/>
      <c r="AU47" s="122"/>
      <c r="BO47" s="115" t="s">
        <v>1228</v>
      </c>
      <c r="BP47" s="115" t="s">
        <v>1454</v>
      </c>
    </row>
    <row r="48" spans="1:72" ht="18" customHeight="1">
      <c r="A48" s="111"/>
      <c r="B48" s="181">
        <f>IF(OR(I48="",O48="",I49="",O49="",X48="",AI49="",AM49="",AQ49="",O51="",Z51="",J52="",M52="",I53="",N53="",V53="",AD53="",I55="",O55="",T55="",AV48=0,AV51="NG",AV53="00"),1,0)</f>
        <v>1</v>
      </c>
      <c r="C48" s="1258" t="s">
        <v>390</v>
      </c>
      <c r="D48" s="1259"/>
      <c r="E48" s="1259"/>
      <c r="F48" s="1259"/>
      <c r="G48" s="1259"/>
      <c r="H48" s="1260"/>
      <c r="I48" s="1349" t="s">
        <v>2205</v>
      </c>
      <c r="J48" s="1350"/>
      <c r="K48" s="1350"/>
      <c r="L48" s="1350"/>
      <c r="M48" s="1350"/>
      <c r="N48" s="1350"/>
      <c r="O48" s="1350" t="s">
        <v>2206</v>
      </c>
      <c r="P48" s="1350"/>
      <c r="Q48" s="1350"/>
      <c r="R48" s="1350"/>
      <c r="S48" s="1350"/>
      <c r="T48" s="1351"/>
      <c r="U48" s="1352" t="s">
        <v>406</v>
      </c>
      <c r="V48" s="1353"/>
      <c r="W48" s="1354"/>
      <c r="X48" s="1358" t="s">
        <v>2207</v>
      </c>
      <c r="Y48" s="1358"/>
      <c r="Z48" s="1358"/>
      <c r="AA48" s="1358"/>
      <c r="AB48" s="1358"/>
      <c r="AC48" s="1359"/>
      <c r="AD48" s="1363" t="s">
        <v>407</v>
      </c>
      <c r="AE48" s="1364"/>
      <c r="AF48" s="1365"/>
      <c r="AG48" s="1366"/>
      <c r="AH48" s="1367"/>
      <c r="AI48" s="330" t="s">
        <v>408</v>
      </c>
      <c r="AJ48" s="1367"/>
      <c r="AK48" s="1367"/>
      <c r="AL48" s="330" t="s">
        <v>409</v>
      </c>
      <c r="AM48" s="130"/>
      <c r="AN48" s="130"/>
      <c r="AO48" s="130"/>
      <c r="AP48" s="130"/>
      <c r="AQ48" s="130"/>
      <c r="AR48" s="130"/>
      <c r="AS48" s="130"/>
      <c r="AT48" s="131"/>
      <c r="AU48" s="122"/>
      <c r="AV48" s="114">
        <v>1</v>
      </c>
      <c r="BO48" s="115" t="s">
        <v>1229</v>
      </c>
      <c r="BP48" s="115" t="s">
        <v>1455</v>
      </c>
    </row>
    <row r="49" spans="1:72" ht="18" customHeight="1">
      <c r="A49" s="111"/>
      <c r="B49" s="181"/>
      <c r="C49" s="1200" t="s">
        <v>411</v>
      </c>
      <c r="D49" s="1201"/>
      <c r="E49" s="1201"/>
      <c r="F49" s="1201"/>
      <c r="G49" s="1201"/>
      <c r="H49" s="1202"/>
      <c r="I49" s="1368" t="s">
        <v>2019</v>
      </c>
      <c r="J49" s="1369"/>
      <c r="K49" s="1369"/>
      <c r="L49" s="1369"/>
      <c r="M49" s="1369"/>
      <c r="N49" s="1369"/>
      <c r="O49" s="1369" t="s">
        <v>2020</v>
      </c>
      <c r="P49" s="1369"/>
      <c r="Q49" s="1369"/>
      <c r="R49" s="1369"/>
      <c r="S49" s="1369"/>
      <c r="T49" s="1372"/>
      <c r="U49" s="1158"/>
      <c r="V49" s="1159"/>
      <c r="W49" s="1160"/>
      <c r="X49" s="1156"/>
      <c r="Y49" s="1156"/>
      <c r="Z49" s="1156"/>
      <c r="AA49" s="1156"/>
      <c r="AB49" s="1156"/>
      <c r="AC49" s="1360"/>
      <c r="AD49" s="1374" t="s">
        <v>412</v>
      </c>
      <c r="AE49" s="1375"/>
      <c r="AF49" s="1376"/>
      <c r="AG49" s="1377" t="s">
        <v>380</v>
      </c>
      <c r="AH49" s="1377"/>
      <c r="AI49" s="1378">
        <v>1950</v>
      </c>
      <c r="AJ49" s="1378"/>
      <c r="AK49" s="1377" t="s">
        <v>381</v>
      </c>
      <c r="AL49" s="1377"/>
      <c r="AM49" s="1379">
        <v>2</v>
      </c>
      <c r="AN49" s="1379"/>
      <c r="AO49" s="1380" t="s">
        <v>413</v>
      </c>
      <c r="AP49" s="1380"/>
      <c r="AQ49" s="1379">
        <v>2</v>
      </c>
      <c r="AR49" s="1379"/>
      <c r="AS49" s="1380" t="s">
        <v>414</v>
      </c>
      <c r="AT49" s="1381"/>
      <c r="AU49" s="122"/>
      <c r="AZ49" s="133"/>
      <c r="BO49" s="115" t="s">
        <v>1230</v>
      </c>
      <c r="BP49" s="115" t="s">
        <v>1456</v>
      </c>
    </row>
    <row r="50" spans="1:72" ht="18" customHeight="1">
      <c r="A50" s="111"/>
      <c r="B50" s="181"/>
      <c r="C50" s="1200"/>
      <c r="D50" s="1201"/>
      <c r="E50" s="1201"/>
      <c r="F50" s="1201"/>
      <c r="G50" s="1201"/>
      <c r="H50" s="1202"/>
      <c r="I50" s="1370"/>
      <c r="J50" s="1371"/>
      <c r="K50" s="1371"/>
      <c r="L50" s="1371"/>
      <c r="M50" s="1371"/>
      <c r="N50" s="1371"/>
      <c r="O50" s="1371"/>
      <c r="P50" s="1371"/>
      <c r="Q50" s="1371"/>
      <c r="R50" s="1371"/>
      <c r="S50" s="1371"/>
      <c r="T50" s="1373"/>
      <c r="U50" s="1355"/>
      <c r="V50" s="1356"/>
      <c r="W50" s="1357"/>
      <c r="X50" s="1361"/>
      <c r="Y50" s="1361"/>
      <c r="Z50" s="1361"/>
      <c r="AA50" s="1361"/>
      <c r="AB50" s="1361"/>
      <c r="AC50" s="1362"/>
      <c r="AD50" s="1355"/>
      <c r="AE50" s="1356"/>
      <c r="AF50" s="1357"/>
      <c r="AG50" s="1377"/>
      <c r="AH50" s="1377"/>
      <c r="AI50" s="1378"/>
      <c r="AJ50" s="1378"/>
      <c r="AK50" s="1377"/>
      <c r="AL50" s="1377"/>
      <c r="AM50" s="1378"/>
      <c r="AN50" s="1378"/>
      <c r="AO50" s="1377"/>
      <c r="AP50" s="1377"/>
      <c r="AQ50" s="1378"/>
      <c r="AR50" s="1378"/>
      <c r="AS50" s="1377"/>
      <c r="AT50" s="1382"/>
      <c r="AU50" s="122"/>
      <c r="BP50" s="123"/>
      <c r="BQ50" s="224"/>
    </row>
    <row r="51" spans="1:72" ht="18" customHeight="1">
      <c r="A51" s="111"/>
      <c r="B51" s="181"/>
      <c r="C51" s="1245" t="s">
        <v>2026</v>
      </c>
      <c r="D51" s="1246"/>
      <c r="E51" s="1246"/>
      <c r="F51" s="1246"/>
      <c r="G51" s="1246"/>
      <c r="H51" s="1247"/>
      <c r="I51" s="397"/>
      <c r="J51" s="1248" t="s">
        <v>1422</v>
      </c>
      <c r="K51" s="1248"/>
      <c r="L51" s="1248"/>
      <c r="M51" s="1249"/>
      <c r="N51" s="503"/>
      <c r="O51" s="1285" t="s">
        <v>4420</v>
      </c>
      <c r="P51" s="1285"/>
      <c r="Q51" s="1285"/>
      <c r="R51" s="1285"/>
      <c r="S51" s="1285"/>
      <c r="T51" s="1285"/>
      <c r="U51" s="1286"/>
      <c r="V51" s="503"/>
      <c r="W51" s="1285" t="s">
        <v>4421</v>
      </c>
      <c r="X51" s="1285"/>
      <c r="Y51" s="1285"/>
      <c r="Z51" s="1285"/>
      <c r="AA51" s="1285"/>
      <c r="AB51" s="1285"/>
      <c r="AC51" s="1286"/>
      <c r="AD51" s="503"/>
      <c r="AE51" s="1285" t="s">
        <v>4423</v>
      </c>
      <c r="AF51" s="1285"/>
      <c r="AG51" s="1285"/>
      <c r="AH51" s="1285"/>
      <c r="AI51" s="1285"/>
      <c r="AJ51" s="1285"/>
      <c r="AK51" s="1286"/>
      <c r="AL51" s="503"/>
      <c r="AM51" s="1287"/>
      <c r="AN51" s="1287"/>
      <c r="AO51" s="1287"/>
      <c r="AP51" s="1287"/>
      <c r="AQ51" s="1287"/>
      <c r="AR51" s="1287"/>
      <c r="AS51" s="1287"/>
      <c r="AT51" s="1288"/>
      <c r="AU51" s="122"/>
      <c r="AV51" s="114" t="str">
        <f>IF(ISERROR(FIND({"１","２","３","４","５","６","７","８","９","０","1","2","3","4","5","6","7","8","9","0","-","―","－","-","・","！","!","@","&amp;","."},O51&amp;Z51&amp;AK51)),"OK","NG")</f>
        <v>OK</v>
      </c>
      <c r="BO51" s="123"/>
      <c r="BP51" s="123"/>
      <c r="BQ51" s="224"/>
    </row>
    <row r="52" spans="1:72" ht="18" customHeight="1">
      <c r="A52" s="111"/>
      <c r="B52" s="181"/>
      <c r="C52" s="1387" t="s">
        <v>859</v>
      </c>
      <c r="D52" s="1388"/>
      <c r="E52" s="1388"/>
      <c r="F52" s="1388"/>
      <c r="G52" s="1388"/>
      <c r="H52" s="1389"/>
      <c r="I52" s="504" t="s">
        <v>2027</v>
      </c>
      <c r="J52" s="1313" t="s">
        <v>2209</v>
      </c>
      <c r="K52" s="1313"/>
      <c r="L52" s="505" t="s">
        <v>2028</v>
      </c>
      <c r="M52" s="1314" t="s">
        <v>2210</v>
      </c>
      <c r="N52" s="1314"/>
      <c r="O52" s="505"/>
      <c r="P52" s="505"/>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6"/>
      <c r="AN52" s="506"/>
      <c r="AO52" s="506"/>
      <c r="AP52" s="506"/>
      <c r="AQ52" s="506"/>
      <c r="AR52" s="506"/>
      <c r="AS52" s="506"/>
      <c r="AT52" s="507"/>
      <c r="AU52" s="122"/>
      <c r="BO52" s="123"/>
    </row>
    <row r="53" spans="1:72" ht="18" customHeight="1">
      <c r="A53" s="111"/>
      <c r="B53" s="181"/>
      <c r="C53" s="1200"/>
      <c r="D53" s="1201"/>
      <c r="E53" s="1201"/>
      <c r="F53" s="1201"/>
      <c r="G53" s="1201"/>
      <c r="H53" s="1202"/>
      <c r="I53" s="1315" t="s">
        <v>1196</v>
      </c>
      <c r="J53" s="1316"/>
      <c r="K53" s="1316"/>
      <c r="L53" s="1316"/>
      <c r="M53" s="1316"/>
      <c r="N53" s="1291" t="s">
        <v>2196</v>
      </c>
      <c r="O53" s="1291"/>
      <c r="P53" s="1291"/>
      <c r="Q53" s="1291"/>
      <c r="R53" s="1291"/>
      <c r="S53" s="1291"/>
      <c r="T53" s="1291"/>
      <c r="U53" s="1291"/>
      <c r="V53" s="1291" t="s">
        <v>2208</v>
      </c>
      <c r="W53" s="1291"/>
      <c r="X53" s="1291"/>
      <c r="Y53" s="1291"/>
      <c r="Z53" s="1291"/>
      <c r="AA53" s="1291"/>
      <c r="AB53" s="1291"/>
      <c r="AC53" s="1291"/>
      <c r="AD53" s="1289" t="s">
        <v>2211</v>
      </c>
      <c r="AE53" s="1289"/>
      <c r="AF53" s="1289"/>
      <c r="AG53" s="1289"/>
      <c r="AH53" s="1289"/>
      <c r="AI53" s="1289"/>
      <c r="AJ53" s="1289"/>
      <c r="AK53" s="1289"/>
      <c r="AL53" s="1291"/>
      <c r="AM53" s="1291"/>
      <c r="AN53" s="1291"/>
      <c r="AO53" s="1291"/>
      <c r="AP53" s="1291"/>
      <c r="AQ53" s="1291"/>
      <c r="AR53" s="1291"/>
      <c r="AS53" s="1291"/>
      <c r="AT53" s="1292"/>
      <c r="AU53" s="122"/>
      <c r="AV53" s="114" t="str">
        <f>LEFT(I53,2)</f>
        <v>13</v>
      </c>
      <c r="AW53" s="114" t="str">
        <f>MID(I53,4,LEN(I53)-3)</f>
        <v>東京都</v>
      </c>
      <c r="BF53" s="123"/>
      <c r="BG53" s="123"/>
      <c r="BH53" s="123"/>
      <c r="BI53" s="123"/>
      <c r="BJ53" s="123"/>
      <c r="BK53" s="123"/>
      <c r="BL53" s="123"/>
      <c r="BM53" s="123"/>
      <c r="BN53" s="123"/>
      <c r="BS53" s="116"/>
      <c r="BT53" s="116"/>
    </row>
    <row r="54" spans="1:72" ht="18" customHeight="1">
      <c r="A54" s="111"/>
      <c r="B54" s="181"/>
      <c r="C54" s="1242"/>
      <c r="D54" s="1243"/>
      <c r="E54" s="1243"/>
      <c r="F54" s="1243"/>
      <c r="G54" s="1243"/>
      <c r="H54" s="1244"/>
      <c r="I54" s="1317"/>
      <c r="J54" s="1318"/>
      <c r="K54" s="1318"/>
      <c r="L54" s="1318"/>
      <c r="M54" s="1318"/>
      <c r="N54" s="1293"/>
      <c r="O54" s="1293"/>
      <c r="P54" s="1293"/>
      <c r="Q54" s="1293"/>
      <c r="R54" s="1293"/>
      <c r="S54" s="1293"/>
      <c r="T54" s="1293"/>
      <c r="U54" s="1293"/>
      <c r="V54" s="1293"/>
      <c r="W54" s="1293"/>
      <c r="X54" s="1293"/>
      <c r="Y54" s="1293"/>
      <c r="Z54" s="1293"/>
      <c r="AA54" s="1293"/>
      <c r="AB54" s="1293"/>
      <c r="AC54" s="1293"/>
      <c r="AD54" s="1290"/>
      <c r="AE54" s="1290"/>
      <c r="AF54" s="1290"/>
      <c r="AG54" s="1290"/>
      <c r="AH54" s="1290"/>
      <c r="AI54" s="1290"/>
      <c r="AJ54" s="1290"/>
      <c r="AK54" s="1290"/>
      <c r="AL54" s="1293"/>
      <c r="AM54" s="1293"/>
      <c r="AN54" s="1293"/>
      <c r="AO54" s="1293"/>
      <c r="AP54" s="1293"/>
      <c r="AQ54" s="1293"/>
      <c r="AR54" s="1293"/>
      <c r="AS54" s="1293"/>
      <c r="AT54" s="1294"/>
      <c r="AU54" s="122"/>
      <c r="BF54" s="123"/>
      <c r="BG54" s="123"/>
      <c r="BH54" s="123"/>
      <c r="BI54" s="123"/>
      <c r="BJ54" s="123"/>
      <c r="BK54" s="123"/>
      <c r="BL54" s="123"/>
      <c r="BM54" s="123"/>
      <c r="BN54" s="123"/>
      <c r="BS54" s="116"/>
      <c r="BT54" s="116"/>
    </row>
    <row r="55" spans="1:72" ht="18" customHeight="1" thickBot="1">
      <c r="A55" s="111"/>
      <c r="B55" s="181"/>
      <c r="C55" s="1337" t="s">
        <v>398</v>
      </c>
      <c r="D55" s="1338"/>
      <c r="E55" s="1338"/>
      <c r="F55" s="1338"/>
      <c r="G55" s="1338"/>
      <c r="H55" s="1339"/>
      <c r="I55" s="1345" t="s">
        <v>2212</v>
      </c>
      <c r="J55" s="1346"/>
      <c r="K55" s="1346"/>
      <c r="L55" s="1346"/>
      <c r="M55" s="1346"/>
      <c r="N55" s="351" t="s">
        <v>1231</v>
      </c>
      <c r="O55" s="1346" t="s">
        <v>2213</v>
      </c>
      <c r="P55" s="1346"/>
      <c r="Q55" s="1346"/>
      <c r="R55" s="1346"/>
      <c r="S55" s="351" t="s">
        <v>1182</v>
      </c>
      <c r="T55" s="1346" t="s">
        <v>2214</v>
      </c>
      <c r="U55" s="1346"/>
      <c r="V55" s="1346"/>
      <c r="W55" s="1346"/>
      <c r="X55" s="1383"/>
      <c r="Y55" s="1384" t="s">
        <v>399</v>
      </c>
      <c r="Z55" s="1385"/>
      <c r="AA55" s="1385"/>
      <c r="AB55" s="1385"/>
      <c r="AC55" s="1385"/>
      <c r="AD55" s="1386"/>
      <c r="AE55" s="1345"/>
      <c r="AF55" s="1346"/>
      <c r="AG55" s="1346"/>
      <c r="AH55" s="1346"/>
      <c r="AI55" s="1346"/>
      <c r="AJ55" s="351" t="s">
        <v>1231</v>
      </c>
      <c r="AK55" s="1346"/>
      <c r="AL55" s="1346"/>
      <c r="AM55" s="1346"/>
      <c r="AN55" s="1346"/>
      <c r="AO55" s="351" t="s">
        <v>1182</v>
      </c>
      <c r="AP55" s="1346"/>
      <c r="AQ55" s="1346"/>
      <c r="AR55" s="1346"/>
      <c r="AS55" s="1346"/>
      <c r="AT55" s="1347"/>
      <c r="AU55" s="122"/>
      <c r="AV55" s="114" t="str">
        <f>IF(AND(I55&lt;&gt;"",O55&lt;&gt;"",T55&lt;&gt;""),IF(LENB(I55)+LENB(O55)+LENB(T55)&lt;13,"OK","NG"),"OK")</f>
        <v>OK</v>
      </c>
      <c r="AW55" s="114" t="str">
        <f>IF(AND(AE55&lt;&gt;"",AK55&lt;&gt;"",AP55&lt;&gt;""),IF(LENB(AE55)+LENB(AK55)+LENB(AP55)&lt;13,"OK","NG"),"OK")</f>
        <v>OK</v>
      </c>
      <c r="BF55" s="123"/>
      <c r="BG55" s="123"/>
      <c r="BH55" s="123"/>
      <c r="BS55" s="116"/>
      <c r="BT55" s="116"/>
    </row>
    <row r="56" spans="1:72" ht="18.649999999999999" customHeight="1">
      <c r="A56" s="111"/>
      <c r="B56" s="181"/>
      <c r="C56" s="129"/>
      <c r="D56" s="129"/>
      <c r="E56" s="129"/>
      <c r="F56" s="129"/>
      <c r="G56" s="129"/>
      <c r="H56" s="129"/>
      <c r="I56" s="478"/>
      <c r="J56" s="478"/>
      <c r="K56" s="478"/>
      <c r="L56" s="478"/>
      <c r="M56" s="478"/>
      <c r="N56" s="478"/>
      <c r="O56" s="478"/>
      <c r="P56" s="478"/>
      <c r="Q56" s="478"/>
      <c r="R56" s="478"/>
      <c r="S56" s="478"/>
      <c r="T56" s="478"/>
      <c r="U56" s="478"/>
      <c r="V56" s="478"/>
      <c r="W56" s="478"/>
      <c r="X56" s="478"/>
      <c r="Y56" s="134"/>
      <c r="Z56" s="134"/>
      <c r="AA56" s="134"/>
      <c r="AB56" s="134"/>
      <c r="AC56" s="134"/>
      <c r="AD56" s="134"/>
      <c r="AE56" s="478"/>
      <c r="AF56" s="478"/>
      <c r="AG56" s="478"/>
      <c r="AH56" s="478"/>
      <c r="AI56" s="478"/>
      <c r="AJ56" s="478"/>
      <c r="AK56" s="478"/>
      <c r="AL56" s="478"/>
      <c r="AM56" s="478"/>
      <c r="AN56" s="478"/>
      <c r="AO56" s="478"/>
      <c r="AP56" s="478"/>
      <c r="AQ56" s="478"/>
      <c r="AR56" s="478"/>
      <c r="AS56" s="478"/>
      <c r="AT56" s="478"/>
      <c r="AU56" s="122"/>
      <c r="BF56" s="123"/>
      <c r="BG56" s="123"/>
      <c r="BH56" s="123"/>
      <c r="BS56" s="116"/>
      <c r="BT56" s="116"/>
    </row>
    <row r="57" spans="1:72" ht="18.649999999999999" customHeight="1">
      <c r="A57" s="111"/>
      <c r="B57" s="181"/>
      <c r="C57" s="129"/>
      <c r="D57" s="129"/>
      <c r="E57" s="129"/>
      <c r="F57" s="129"/>
      <c r="G57" s="129"/>
      <c r="H57" s="129"/>
      <c r="I57" s="478"/>
      <c r="J57" s="478"/>
      <c r="K57" s="478"/>
      <c r="L57" s="478"/>
      <c r="M57" s="478"/>
      <c r="N57" s="478"/>
      <c r="O57" s="478"/>
      <c r="P57" s="478"/>
      <c r="Q57" s="478"/>
      <c r="R57" s="478"/>
      <c r="S57" s="478"/>
      <c r="T57" s="478"/>
      <c r="U57" s="478"/>
      <c r="V57" s="478"/>
      <c r="W57" s="478"/>
      <c r="X57" s="478"/>
      <c r="Y57" s="134"/>
      <c r="Z57" s="134"/>
      <c r="AA57" s="134"/>
      <c r="AB57" s="134"/>
      <c r="AC57" s="134"/>
      <c r="AD57" s="134"/>
      <c r="AE57" s="478"/>
      <c r="AF57" s="478"/>
      <c r="AG57" s="478"/>
      <c r="AH57" s="478"/>
      <c r="AI57" s="478"/>
      <c r="AJ57" s="478"/>
      <c r="AK57" s="478"/>
      <c r="AL57" s="478"/>
      <c r="AM57" s="478"/>
      <c r="AN57" s="478"/>
      <c r="AO57" s="478"/>
      <c r="AP57" s="478"/>
      <c r="AQ57" s="478"/>
      <c r="AR57" s="478"/>
      <c r="AS57" s="478"/>
      <c r="AT57" s="478"/>
      <c r="AU57" s="122"/>
      <c r="BE57" s="133"/>
      <c r="BF57" s="123"/>
      <c r="BG57" s="123"/>
      <c r="BH57" s="123"/>
      <c r="BS57" s="116"/>
      <c r="BT57" s="116"/>
    </row>
    <row r="58" spans="1:72" ht="18.649999999999999" customHeight="1">
      <c r="A58" s="111"/>
      <c r="B58" s="181"/>
      <c r="C58" s="111"/>
      <c r="D58" s="111"/>
      <c r="E58" s="111"/>
      <c r="F58" s="111"/>
      <c r="G58" s="111"/>
      <c r="H58" s="111"/>
      <c r="I58" s="111"/>
      <c r="J58" s="111"/>
      <c r="K58" s="111"/>
      <c r="L58" s="111"/>
      <c r="M58" s="1136" t="s">
        <v>932</v>
      </c>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22"/>
      <c r="BE58" s="133"/>
      <c r="BF58" s="132"/>
      <c r="BG58" s="132"/>
      <c r="BH58" s="132"/>
      <c r="BS58" s="116"/>
      <c r="BT58" s="116"/>
    </row>
    <row r="59" spans="1:72" ht="18.649999999999999" customHeight="1" thickBot="1">
      <c r="A59" s="111"/>
      <c r="B59" s="181"/>
      <c r="C59" s="111"/>
      <c r="D59" s="111"/>
      <c r="E59" s="111"/>
      <c r="F59" s="111"/>
      <c r="G59" s="111"/>
      <c r="H59" s="111"/>
      <c r="I59" s="111"/>
      <c r="J59" s="111"/>
      <c r="K59" s="111"/>
      <c r="L59" s="111"/>
      <c r="M59" s="1137"/>
      <c r="N59" s="1137"/>
      <c r="O59" s="1137"/>
      <c r="P59" s="1137"/>
      <c r="Q59" s="1137"/>
      <c r="R59" s="1137"/>
      <c r="S59" s="1137"/>
      <c r="T59" s="1137"/>
      <c r="U59" s="1137"/>
      <c r="V59" s="1137"/>
      <c r="W59" s="1137"/>
      <c r="X59" s="1137"/>
      <c r="Y59" s="1137"/>
      <c r="Z59" s="1137"/>
      <c r="AA59" s="1137"/>
      <c r="AB59" s="1137"/>
      <c r="AC59" s="1137"/>
      <c r="AD59" s="1137"/>
      <c r="AE59" s="1137"/>
      <c r="AF59" s="1137"/>
      <c r="AG59" s="1137"/>
      <c r="AH59" s="1137"/>
      <c r="AI59" s="1137"/>
      <c r="AJ59" s="1137"/>
      <c r="AK59" s="1137"/>
      <c r="AL59" s="1137"/>
      <c r="AM59" s="1137"/>
      <c r="AN59" s="1137"/>
      <c r="AO59" s="1137"/>
      <c r="AP59" s="1137"/>
      <c r="AQ59" s="1137"/>
      <c r="AR59" s="1137"/>
      <c r="AS59" s="1137"/>
      <c r="AT59" s="1137"/>
      <c r="AU59" s="122"/>
      <c r="BF59" s="132"/>
      <c r="BG59" s="132"/>
      <c r="BH59" s="132"/>
      <c r="BS59" s="116"/>
      <c r="BT59" s="116"/>
    </row>
    <row r="60" spans="1:72" ht="18" customHeight="1">
      <c r="A60" s="111"/>
      <c r="B60" s="181">
        <f>IF(OR(I60="",AV60="NG",I61="",I64="",AV64="NG",I66="",I67="",AV67="NG",AV71="NG",AV74="NG",I76="",O76="",T76="",I79="",L79="",O79="",R79="",I81="",AV83="NG",AI85="",AM85="",AQ85="",I85="",I87="",AW87="NG",AV87="NG",I89="",Z89="",AG89="",AP89="",AW92="NG",AY93="NG",AV98="NG",AV100="NG"),1,0)</f>
        <v>1</v>
      </c>
      <c r="C60" s="1168" t="s">
        <v>2026</v>
      </c>
      <c r="D60" s="1169"/>
      <c r="E60" s="1169"/>
      <c r="F60" s="1169"/>
      <c r="G60" s="1169"/>
      <c r="H60" s="1170"/>
      <c r="I60" s="1171" t="s">
        <v>2218</v>
      </c>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72"/>
      <c r="AI60" s="1172"/>
      <c r="AJ60" s="1172"/>
      <c r="AK60" s="1172"/>
      <c r="AL60" s="1172"/>
      <c r="AM60" s="1172"/>
      <c r="AN60" s="1172"/>
      <c r="AO60" s="1172"/>
      <c r="AP60" s="1172"/>
      <c r="AQ60" s="1172"/>
      <c r="AR60" s="1172"/>
      <c r="AS60" s="1172"/>
      <c r="AT60" s="1173"/>
      <c r="AU60" s="122"/>
      <c r="AV60" s="508" t="str">
        <f>IF(ISERROR(FIND({"１","２","３","４","５","６","７","８","９","０","1","2","3","4","5","6","7","8","9","0","-","―","－","-","・","！","!","@","&amp;","."},I60)),"OK","NG")</f>
        <v>OK</v>
      </c>
      <c r="BB60" s="133"/>
      <c r="BC60" s="133"/>
      <c r="BD60" s="133"/>
      <c r="BS60" s="116"/>
      <c r="BT60" s="116"/>
    </row>
    <row r="61" spans="1:72" ht="18" customHeight="1">
      <c r="A61" s="111"/>
      <c r="B61" s="181"/>
      <c r="C61" s="1174" t="s">
        <v>2030</v>
      </c>
      <c r="D61" s="1175"/>
      <c r="E61" s="1175"/>
      <c r="F61" s="1175"/>
      <c r="G61" s="1175"/>
      <c r="H61" s="1176"/>
      <c r="I61" s="1177" t="s">
        <v>2215</v>
      </c>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c r="AO61" s="1178"/>
      <c r="AP61" s="1178"/>
      <c r="AQ61" s="1178"/>
      <c r="AR61" s="1178"/>
      <c r="AS61" s="1178"/>
      <c r="AT61" s="1179"/>
      <c r="AU61" s="122"/>
      <c r="AV61" s="508"/>
      <c r="BB61" s="133"/>
      <c r="BC61" s="133"/>
      <c r="BD61" s="133"/>
      <c r="BS61" s="116"/>
      <c r="BT61" s="116"/>
    </row>
    <row r="62" spans="1:72" ht="18" customHeight="1">
      <c r="A62" s="111"/>
      <c r="B62" s="181"/>
      <c r="C62" s="1150"/>
      <c r="D62" s="1151"/>
      <c r="E62" s="1151"/>
      <c r="F62" s="1151"/>
      <c r="G62" s="1151"/>
      <c r="H62" s="1152"/>
      <c r="I62" s="1180"/>
      <c r="J62" s="1181"/>
      <c r="K62" s="1181"/>
      <c r="L62" s="1181"/>
      <c r="M62" s="1181"/>
      <c r="N62" s="1181"/>
      <c r="O62" s="1181"/>
      <c r="P62" s="1181"/>
      <c r="Q62" s="1181"/>
      <c r="R62" s="1181"/>
      <c r="S62" s="1181"/>
      <c r="T62" s="1181"/>
      <c r="U62" s="1181"/>
      <c r="V62" s="1181"/>
      <c r="W62" s="1181"/>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181"/>
      <c r="AS62" s="1181"/>
      <c r="AT62" s="1182"/>
      <c r="AU62" s="122"/>
      <c r="AV62" s="508"/>
      <c r="BA62" s="133"/>
      <c r="BF62" s="123"/>
      <c r="BG62" s="123"/>
      <c r="BH62" s="123"/>
      <c r="BS62" s="116"/>
      <c r="BT62" s="116"/>
    </row>
    <row r="63" spans="1:72" ht="18" customHeight="1">
      <c r="A63" s="111"/>
      <c r="B63" s="181"/>
      <c r="C63" s="1150"/>
      <c r="D63" s="1151"/>
      <c r="E63" s="1151"/>
      <c r="F63" s="1151"/>
      <c r="G63" s="1151"/>
      <c r="H63" s="1152"/>
      <c r="I63" s="1183" t="s">
        <v>2031</v>
      </c>
      <c r="J63" s="1184"/>
      <c r="K63" s="1184"/>
      <c r="L63" s="1184"/>
      <c r="M63" s="1184"/>
      <c r="N63" s="1184"/>
      <c r="O63" s="1184"/>
      <c r="P63" s="1184"/>
      <c r="Q63" s="1184"/>
      <c r="R63" s="1184"/>
      <c r="S63" s="1184"/>
      <c r="T63" s="1184"/>
      <c r="U63" s="1184"/>
      <c r="V63" s="1184"/>
      <c r="W63" s="1184"/>
      <c r="X63" s="1184"/>
      <c r="Y63" s="1184"/>
      <c r="Z63" s="1184"/>
      <c r="AA63" s="1185"/>
      <c r="AB63" s="1186" t="s">
        <v>3819</v>
      </c>
      <c r="AC63" s="1186"/>
      <c r="AD63" s="1186"/>
      <c r="AE63" s="1186"/>
      <c r="AF63" s="1186"/>
      <c r="AG63" s="1186"/>
      <c r="AH63" s="1186"/>
      <c r="AI63" s="1186"/>
      <c r="AJ63" s="1186"/>
      <c r="AK63" s="1186"/>
      <c r="AL63" s="1186"/>
      <c r="AM63" s="1186"/>
      <c r="AN63" s="1186"/>
      <c r="AO63" s="1186"/>
      <c r="AP63" s="1186"/>
      <c r="AQ63" s="1186"/>
      <c r="AR63" s="1186"/>
      <c r="AS63" s="1186"/>
      <c r="AT63" s="1187"/>
      <c r="AU63" s="122"/>
      <c r="AV63" s="508"/>
      <c r="BA63" s="133"/>
      <c r="BF63" s="123"/>
      <c r="BG63" s="123"/>
      <c r="BH63" s="123"/>
      <c r="BS63" s="116"/>
      <c r="BT63" s="116"/>
    </row>
    <row r="64" spans="1:72" ht="18" customHeight="1">
      <c r="A64" s="111"/>
      <c r="B64" s="181"/>
      <c r="C64" s="1150"/>
      <c r="D64" s="1151"/>
      <c r="E64" s="1151"/>
      <c r="F64" s="1151"/>
      <c r="G64" s="1151"/>
      <c r="H64" s="1152"/>
      <c r="I64" s="1188" t="s">
        <v>2216</v>
      </c>
      <c r="J64" s="1189"/>
      <c r="K64" s="1189"/>
      <c r="L64" s="1189"/>
      <c r="M64" s="1189"/>
      <c r="N64" s="1189"/>
      <c r="O64" s="1189"/>
      <c r="P64" s="1189"/>
      <c r="Q64" s="1189"/>
      <c r="R64" s="1189"/>
      <c r="S64" s="1189"/>
      <c r="T64" s="1189"/>
      <c r="U64" s="1189"/>
      <c r="V64" s="1189"/>
      <c r="W64" s="1189"/>
      <c r="X64" s="1189"/>
      <c r="Y64" s="1189"/>
      <c r="Z64" s="1189"/>
      <c r="AA64" s="1190"/>
      <c r="AB64" s="1194" t="s">
        <v>3820</v>
      </c>
      <c r="AC64" s="1195"/>
      <c r="AD64" s="1195"/>
      <c r="AE64" s="1195"/>
      <c r="AF64" s="1195"/>
      <c r="AG64" s="1195"/>
      <c r="AH64" s="1195"/>
      <c r="AI64" s="1195"/>
      <c r="AJ64" s="1195"/>
      <c r="AK64" s="1195"/>
      <c r="AL64" s="1195"/>
      <c r="AM64" s="1195"/>
      <c r="AN64" s="1195"/>
      <c r="AO64" s="1195"/>
      <c r="AP64" s="1195"/>
      <c r="AQ64" s="1195"/>
      <c r="AR64" s="1195"/>
      <c r="AS64" s="1195"/>
      <c r="AT64" s="1196"/>
      <c r="AU64" s="122"/>
      <c r="AV64" s="508" t="str">
        <f>IF(AV2=FALSE,"OK",IF(AND(AV2=TRUE,AB64&lt;&gt;""),"OK","NG"))</f>
        <v>OK</v>
      </c>
      <c r="BA64" s="133"/>
      <c r="BF64" s="123"/>
      <c r="BG64" s="123"/>
      <c r="BH64" s="123"/>
      <c r="BS64" s="116"/>
      <c r="BT64" s="116"/>
    </row>
    <row r="65" spans="1:72" ht="18" customHeight="1">
      <c r="A65" s="111"/>
      <c r="B65" s="181"/>
      <c r="C65" s="1167"/>
      <c r="D65" s="1144"/>
      <c r="E65" s="1144"/>
      <c r="F65" s="1144"/>
      <c r="G65" s="1144"/>
      <c r="H65" s="1145"/>
      <c r="I65" s="1191"/>
      <c r="J65" s="1192"/>
      <c r="K65" s="1192"/>
      <c r="L65" s="1192"/>
      <c r="M65" s="1192"/>
      <c r="N65" s="1192"/>
      <c r="O65" s="1192"/>
      <c r="P65" s="1192"/>
      <c r="Q65" s="1192"/>
      <c r="R65" s="1192"/>
      <c r="S65" s="1192"/>
      <c r="T65" s="1192"/>
      <c r="U65" s="1192"/>
      <c r="V65" s="1192"/>
      <c r="W65" s="1192"/>
      <c r="X65" s="1192"/>
      <c r="Y65" s="1192"/>
      <c r="Z65" s="1192"/>
      <c r="AA65" s="1193"/>
      <c r="AB65" s="1194"/>
      <c r="AC65" s="1195"/>
      <c r="AD65" s="1195"/>
      <c r="AE65" s="1195"/>
      <c r="AF65" s="1195"/>
      <c r="AG65" s="1195"/>
      <c r="AH65" s="1195"/>
      <c r="AI65" s="1195"/>
      <c r="AJ65" s="1195"/>
      <c r="AK65" s="1195"/>
      <c r="AL65" s="1195"/>
      <c r="AM65" s="1195"/>
      <c r="AN65" s="1195"/>
      <c r="AO65" s="1195"/>
      <c r="AP65" s="1195"/>
      <c r="AQ65" s="1195"/>
      <c r="AR65" s="1195"/>
      <c r="AS65" s="1195"/>
      <c r="AT65" s="1196"/>
      <c r="AU65" s="122"/>
      <c r="AV65" s="508"/>
      <c r="BF65" s="123"/>
      <c r="BG65" s="123"/>
      <c r="BH65" s="123"/>
      <c r="BS65" s="116"/>
      <c r="BT65" s="116"/>
    </row>
    <row r="66" spans="1:72" ht="18" customHeight="1">
      <c r="A66" s="111"/>
      <c r="B66" s="181"/>
      <c r="C66" s="1245" t="s">
        <v>2099</v>
      </c>
      <c r="D66" s="1246"/>
      <c r="E66" s="1246"/>
      <c r="F66" s="1246"/>
      <c r="G66" s="1246"/>
      <c r="H66" s="1247"/>
      <c r="I66" s="1393" t="s">
        <v>2219</v>
      </c>
      <c r="J66" s="1394"/>
      <c r="K66" s="1394"/>
      <c r="L66" s="1394"/>
      <c r="M66" s="1394"/>
      <c r="N66" s="1394"/>
      <c r="O66" s="1394"/>
      <c r="P66" s="1394"/>
      <c r="Q66" s="1394"/>
      <c r="R66" s="1394"/>
      <c r="S66" s="1394"/>
      <c r="T66" s="1394"/>
      <c r="U66" s="1394"/>
      <c r="V66" s="1394"/>
      <c r="W66" s="1394"/>
      <c r="X66" s="1394"/>
      <c r="Y66" s="1394"/>
      <c r="Z66" s="1394"/>
      <c r="AA66" s="1395"/>
      <c r="AB66" s="1184" t="s">
        <v>4089</v>
      </c>
      <c r="AC66" s="1184"/>
      <c r="AD66" s="1184"/>
      <c r="AE66" s="1184"/>
      <c r="AF66" s="1184"/>
      <c r="AG66" s="1184"/>
      <c r="AH66" s="1184"/>
      <c r="AI66" s="1184"/>
      <c r="AJ66" s="1184"/>
      <c r="AK66" s="1184"/>
      <c r="AL66" s="1184"/>
      <c r="AM66" s="1184"/>
      <c r="AN66" s="1184"/>
      <c r="AO66" s="1184"/>
      <c r="AP66" s="1184"/>
      <c r="AQ66" s="1184"/>
      <c r="AR66" s="1184"/>
      <c r="AS66" s="1184"/>
      <c r="AT66" s="1396"/>
      <c r="AU66" s="122"/>
      <c r="AV66" s="508"/>
      <c r="AW66" s="133"/>
      <c r="AX66" s="133"/>
      <c r="AY66" s="133"/>
      <c r="BS66" s="116"/>
      <c r="BT66" s="116"/>
    </row>
    <row r="67" spans="1:72" ht="18" customHeight="1">
      <c r="A67" s="111"/>
      <c r="B67" s="181"/>
      <c r="C67" s="1150" t="s">
        <v>3565</v>
      </c>
      <c r="D67" s="1151"/>
      <c r="E67" s="1151"/>
      <c r="F67" s="1151"/>
      <c r="G67" s="1151"/>
      <c r="H67" s="1152"/>
      <c r="I67" s="1270" t="s">
        <v>2217</v>
      </c>
      <c r="J67" s="1271"/>
      <c r="K67" s="1271"/>
      <c r="L67" s="1271"/>
      <c r="M67" s="1271"/>
      <c r="N67" s="1271"/>
      <c r="O67" s="1271"/>
      <c r="P67" s="1271"/>
      <c r="Q67" s="1271"/>
      <c r="R67" s="1271"/>
      <c r="S67" s="1271"/>
      <c r="T67" s="1271"/>
      <c r="U67" s="1271"/>
      <c r="V67" s="1271"/>
      <c r="W67" s="1271"/>
      <c r="X67" s="1271"/>
      <c r="Y67" s="1271"/>
      <c r="Z67" s="1271"/>
      <c r="AA67" s="1397"/>
      <c r="AB67" s="1270" t="s">
        <v>4094</v>
      </c>
      <c r="AC67" s="1271"/>
      <c r="AD67" s="1271"/>
      <c r="AE67" s="1271"/>
      <c r="AF67" s="1271"/>
      <c r="AG67" s="1271"/>
      <c r="AH67" s="1271"/>
      <c r="AI67" s="1271"/>
      <c r="AJ67" s="1271"/>
      <c r="AK67" s="1271"/>
      <c r="AL67" s="1271"/>
      <c r="AM67" s="1271"/>
      <c r="AN67" s="1271"/>
      <c r="AO67" s="1271"/>
      <c r="AP67" s="1271"/>
      <c r="AQ67" s="1271"/>
      <c r="AR67" s="1271"/>
      <c r="AS67" s="1271"/>
      <c r="AT67" s="1272"/>
      <c r="AU67" s="122"/>
      <c r="AV67" s="508" t="str">
        <f>IF(AV2=FALSE,"OK",IF(AND(AV2=TRUE,AB67&lt;&gt;""),"OK","NG"))</f>
        <v>OK</v>
      </c>
      <c r="AX67" s="133"/>
      <c r="AY67" s="133"/>
      <c r="BS67" s="116"/>
      <c r="BT67" s="116"/>
    </row>
    <row r="68" spans="1:72" ht="18" customHeight="1">
      <c r="A68" s="111"/>
      <c r="B68" s="181"/>
      <c r="C68" s="1167"/>
      <c r="D68" s="1144"/>
      <c r="E68" s="1144"/>
      <c r="F68" s="1144"/>
      <c r="G68" s="1144"/>
      <c r="H68" s="1145"/>
      <c r="I68" s="1180"/>
      <c r="J68" s="1181"/>
      <c r="K68" s="1181"/>
      <c r="L68" s="1181"/>
      <c r="M68" s="1181"/>
      <c r="N68" s="1181"/>
      <c r="O68" s="1181"/>
      <c r="P68" s="1181"/>
      <c r="Q68" s="1181"/>
      <c r="R68" s="1181"/>
      <c r="S68" s="1181"/>
      <c r="T68" s="1181"/>
      <c r="U68" s="1181"/>
      <c r="V68" s="1181"/>
      <c r="W68" s="1181"/>
      <c r="X68" s="1181"/>
      <c r="Y68" s="1181"/>
      <c r="Z68" s="1181"/>
      <c r="AA68" s="1398"/>
      <c r="AB68" s="1180"/>
      <c r="AC68" s="1181"/>
      <c r="AD68" s="1181"/>
      <c r="AE68" s="1181"/>
      <c r="AF68" s="1181"/>
      <c r="AG68" s="1181"/>
      <c r="AH68" s="1181"/>
      <c r="AI68" s="1181"/>
      <c r="AJ68" s="1181"/>
      <c r="AK68" s="1181"/>
      <c r="AL68" s="1181"/>
      <c r="AM68" s="1181"/>
      <c r="AN68" s="1181"/>
      <c r="AO68" s="1181"/>
      <c r="AP68" s="1181"/>
      <c r="AQ68" s="1181"/>
      <c r="AR68" s="1181"/>
      <c r="AS68" s="1181"/>
      <c r="AT68" s="1182"/>
      <c r="AU68" s="122"/>
      <c r="BS68" s="116"/>
      <c r="BT68" s="116"/>
    </row>
    <row r="69" spans="1:72" ht="18" customHeight="1">
      <c r="A69" s="111"/>
      <c r="B69" s="181"/>
      <c r="C69" s="1197" t="s">
        <v>860</v>
      </c>
      <c r="D69" s="1198"/>
      <c r="E69" s="1198"/>
      <c r="F69" s="1198"/>
      <c r="G69" s="1198"/>
      <c r="H69" s="1199"/>
      <c r="I69" s="579"/>
      <c r="J69" s="1390" t="s">
        <v>818</v>
      </c>
      <c r="K69" s="1390"/>
      <c r="L69" s="1390"/>
      <c r="M69" s="1390"/>
      <c r="N69" s="1390"/>
      <c r="O69" s="1390"/>
      <c r="P69" s="1390"/>
      <c r="Q69" s="1390"/>
      <c r="R69" s="1390"/>
      <c r="S69" s="1390"/>
      <c r="T69" s="1390"/>
      <c r="U69" s="1390"/>
      <c r="V69" s="1390"/>
      <c r="W69" s="1390"/>
      <c r="X69" s="1390"/>
      <c r="Y69" s="1390"/>
      <c r="Z69" s="1390"/>
      <c r="AA69" s="1390"/>
      <c r="AB69" s="1390"/>
      <c r="AC69" s="1390"/>
      <c r="AD69" s="1390"/>
      <c r="AE69" s="1390"/>
      <c r="AF69" s="1390"/>
      <c r="AG69" s="1390"/>
      <c r="AH69" s="1390"/>
      <c r="AI69" s="1390"/>
      <c r="AJ69" s="1390"/>
      <c r="AK69" s="1390"/>
      <c r="AL69" s="1390"/>
      <c r="AM69" s="1390"/>
      <c r="AN69" s="1390"/>
      <c r="AO69" s="1390"/>
      <c r="AP69" s="1390"/>
      <c r="AQ69" s="1390"/>
      <c r="AR69" s="1390"/>
      <c r="AS69" s="1390"/>
      <c r="AT69" s="1391"/>
      <c r="AU69" s="122"/>
      <c r="AV69" s="114" t="b">
        <v>0</v>
      </c>
      <c r="BS69" s="116"/>
      <c r="BT69" s="116"/>
    </row>
    <row r="70" spans="1:72" ht="18" customHeight="1">
      <c r="A70" s="111"/>
      <c r="B70" s="181"/>
      <c r="C70" s="144"/>
      <c r="D70" s="509"/>
      <c r="E70" s="1392" t="s">
        <v>2026</v>
      </c>
      <c r="F70" s="1246"/>
      <c r="G70" s="1246"/>
      <c r="H70" s="1247"/>
      <c r="I70" s="397"/>
      <c r="J70" s="1248" t="s">
        <v>1422</v>
      </c>
      <c r="K70" s="1248"/>
      <c r="L70" s="1248"/>
      <c r="M70" s="1249"/>
      <c r="N70" s="503"/>
      <c r="O70" s="1285" t="s">
        <v>4424</v>
      </c>
      <c r="P70" s="1285"/>
      <c r="Q70" s="1285"/>
      <c r="R70" s="1285"/>
      <c r="S70" s="1285"/>
      <c r="T70" s="1285"/>
      <c r="U70" s="1286"/>
      <c r="V70" s="503"/>
      <c r="W70" s="1285" t="s">
        <v>4425</v>
      </c>
      <c r="X70" s="1285"/>
      <c r="Y70" s="1285"/>
      <c r="Z70" s="1285"/>
      <c r="AA70" s="1285"/>
      <c r="AB70" s="1285"/>
      <c r="AC70" s="1286"/>
      <c r="AD70" s="503"/>
      <c r="AE70" s="1285" t="s">
        <v>4426</v>
      </c>
      <c r="AF70" s="1285"/>
      <c r="AG70" s="1285"/>
      <c r="AH70" s="1285"/>
      <c r="AI70" s="1285"/>
      <c r="AJ70" s="1285"/>
      <c r="AK70" s="1286"/>
      <c r="AL70" s="503"/>
      <c r="AM70" s="1287"/>
      <c r="AN70" s="1287"/>
      <c r="AO70" s="1287"/>
      <c r="AP70" s="1287"/>
      <c r="AQ70" s="1287"/>
      <c r="AR70" s="1287"/>
      <c r="AS70" s="1287"/>
      <c r="AT70" s="1288"/>
      <c r="AU70" s="122"/>
      <c r="AV70" s="508" t="str">
        <f>IF(ISERROR(FIND({"１","２","３","４","５","６","７","８","９","０","1","2","3","4","5","6","7","8","9","0","-","―","－","-","・","！","!","@","&amp;","."},O70&amp;Z70&amp;AK70)),"OK","NG")</f>
        <v>OK</v>
      </c>
      <c r="BS70" s="116"/>
      <c r="BT70" s="116"/>
    </row>
    <row r="71" spans="1:72" ht="18" customHeight="1">
      <c r="A71" s="111"/>
      <c r="B71" s="181"/>
      <c r="C71" s="144"/>
      <c r="D71" s="509"/>
      <c r="E71" s="1401" t="s">
        <v>819</v>
      </c>
      <c r="F71" s="1388"/>
      <c r="G71" s="1388"/>
      <c r="H71" s="1389"/>
      <c r="I71" s="504" t="s">
        <v>2027</v>
      </c>
      <c r="J71" s="1313" t="s">
        <v>2220</v>
      </c>
      <c r="K71" s="1313"/>
      <c r="L71" s="505" t="s">
        <v>2028</v>
      </c>
      <c r="M71" s="1314" t="s">
        <v>2221</v>
      </c>
      <c r="N71" s="1314"/>
      <c r="O71" s="505"/>
      <c r="P71" s="505"/>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7"/>
      <c r="AU71" s="122"/>
      <c r="AV71" s="508" t="str">
        <f>IF(AND(AV69=FALSE,OR(O70="",Z70="",J71="",M71="",I72="",N72="",V72="",AD72)),"NG","OK")</f>
        <v>NG</v>
      </c>
      <c r="BS71" s="116"/>
      <c r="BT71" s="116"/>
    </row>
    <row r="72" spans="1:72" ht="18" customHeight="1">
      <c r="A72" s="111"/>
      <c r="B72" s="181"/>
      <c r="C72" s="144"/>
      <c r="D72" s="509"/>
      <c r="E72" s="1280"/>
      <c r="F72" s="1201"/>
      <c r="G72" s="1201"/>
      <c r="H72" s="1202"/>
      <c r="I72" s="1315" t="s">
        <v>1196</v>
      </c>
      <c r="J72" s="1316"/>
      <c r="K72" s="1316"/>
      <c r="L72" s="1316"/>
      <c r="M72" s="1316"/>
      <c r="N72" s="1291" t="s">
        <v>2222</v>
      </c>
      <c r="O72" s="1291"/>
      <c r="P72" s="1291"/>
      <c r="Q72" s="1291"/>
      <c r="R72" s="1291"/>
      <c r="S72" s="1291"/>
      <c r="T72" s="1291"/>
      <c r="U72" s="1291"/>
      <c r="V72" s="1291" t="s">
        <v>2223</v>
      </c>
      <c r="W72" s="1291"/>
      <c r="X72" s="1291"/>
      <c r="Y72" s="1291"/>
      <c r="Z72" s="1291"/>
      <c r="AA72" s="1291"/>
      <c r="AB72" s="1291"/>
      <c r="AC72" s="1291"/>
      <c r="AD72" s="1289" t="s">
        <v>2224</v>
      </c>
      <c r="AE72" s="1289"/>
      <c r="AF72" s="1289"/>
      <c r="AG72" s="1289"/>
      <c r="AH72" s="1289"/>
      <c r="AI72" s="1289"/>
      <c r="AJ72" s="1289"/>
      <c r="AK72" s="1289"/>
      <c r="AL72" s="1291"/>
      <c r="AM72" s="1291"/>
      <c r="AN72" s="1291"/>
      <c r="AO72" s="1291"/>
      <c r="AP72" s="1291"/>
      <c r="AQ72" s="1291"/>
      <c r="AR72" s="1291"/>
      <c r="AS72" s="1291"/>
      <c r="AT72" s="1292"/>
      <c r="AU72" s="122"/>
      <c r="AV72" s="508" t="str">
        <f>LEFT(I72,2)</f>
        <v>13</v>
      </c>
      <c r="AW72" s="114" t="str">
        <f>MID(I72,4,LEN(I72)-3)</f>
        <v>東京都</v>
      </c>
      <c r="BS72" s="116"/>
      <c r="BT72" s="116"/>
    </row>
    <row r="73" spans="1:72" ht="18" customHeight="1">
      <c r="A73" s="111"/>
      <c r="B73" s="181"/>
      <c r="C73" s="144"/>
      <c r="D73" s="509"/>
      <c r="E73" s="1281"/>
      <c r="F73" s="1243"/>
      <c r="G73" s="1243"/>
      <c r="H73" s="1244"/>
      <c r="I73" s="1317"/>
      <c r="J73" s="1318"/>
      <c r="K73" s="1318"/>
      <c r="L73" s="1318"/>
      <c r="M73" s="1318"/>
      <c r="N73" s="1293"/>
      <c r="O73" s="1293"/>
      <c r="P73" s="1293"/>
      <c r="Q73" s="1293"/>
      <c r="R73" s="1293"/>
      <c r="S73" s="1293"/>
      <c r="T73" s="1293"/>
      <c r="U73" s="1293"/>
      <c r="V73" s="1293"/>
      <c r="W73" s="1293"/>
      <c r="X73" s="1293"/>
      <c r="Y73" s="1293"/>
      <c r="Z73" s="1293"/>
      <c r="AA73" s="1293"/>
      <c r="AB73" s="1293"/>
      <c r="AC73" s="1293"/>
      <c r="AD73" s="1290"/>
      <c r="AE73" s="1290"/>
      <c r="AF73" s="1290"/>
      <c r="AG73" s="1290"/>
      <c r="AH73" s="1290"/>
      <c r="AI73" s="1290"/>
      <c r="AJ73" s="1290"/>
      <c r="AK73" s="1290"/>
      <c r="AL73" s="1293"/>
      <c r="AM73" s="1293"/>
      <c r="AN73" s="1293"/>
      <c r="AO73" s="1293"/>
      <c r="AP73" s="1293"/>
      <c r="AQ73" s="1293"/>
      <c r="AR73" s="1293"/>
      <c r="AS73" s="1293"/>
      <c r="AT73" s="1294"/>
      <c r="AU73" s="122"/>
      <c r="AV73" s="508"/>
      <c r="BS73" s="116"/>
      <c r="BT73" s="116"/>
    </row>
    <row r="74" spans="1:72" ht="18" hidden="1" customHeight="1">
      <c r="A74" s="111"/>
      <c r="B74" s="181"/>
      <c r="C74" s="144"/>
      <c r="D74" s="509"/>
      <c r="E74" s="1279" t="s">
        <v>2032</v>
      </c>
      <c r="F74" s="1165"/>
      <c r="G74" s="1165"/>
      <c r="H74" s="1166"/>
      <c r="I74" s="1275" t="s">
        <v>2225</v>
      </c>
      <c r="J74" s="1276"/>
      <c r="K74" s="1276"/>
      <c r="L74" s="1276"/>
      <c r="M74" s="1276"/>
      <c r="N74" s="1276"/>
      <c r="O74" s="1276"/>
      <c r="P74" s="1276"/>
      <c r="Q74" s="1276"/>
      <c r="R74" s="1276"/>
      <c r="S74" s="1276"/>
      <c r="T74" s="1276"/>
      <c r="U74" s="1276"/>
      <c r="V74" s="1276"/>
      <c r="W74" s="1276"/>
      <c r="X74" s="1276"/>
      <c r="Y74" s="1276"/>
      <c r="Z74" s="1276"/>
      <c r="AA74" s="1276"/>
      <c r="AB74" s="1276"/>
      <c r="AC74" s="1276"/>
      <c r="AD74" s="1276"/>
      <c r="AE74" s="1276"/>
      <c r="AF74" s="1276"/>
      <c r="AG74" s="1276"/>
      <c r="AH74" s="1276"/>
      <c r="AI74" s="1276"/>
      <c r="AJ74" s="1276"/>
      <c r="AK74" s="1276"/>
      <c r="AL74" s="1276"/>
      <c r="AM74" s="1276"/>
      <c r="AN74" s="1276"/>
      <c r="AO74" s="1276"/>
      <c r="AP74" s="1276"/>
      <c r="AQ74" s="1276"/>
      <c r="AR74" s="1276"/>
      <c r="AS74" s="1276"/>
      <c r="AT74" s="1399"/>
      <c r="AU74" s="122"/>
      <c r="AV74" s="508" t="str">
        <f>IF(AV2=FALSE,"OK",IF(AND(AV2=TRUE,I74&lt;&gt;""),"OK","NG"))</f>
        <v>OK</v>
      </c>
      <c r="BS74" s="116"/>
      <c r="BT74" s="116"/>
    </row>
    <row r="75" spans="1:72" ht="18" hidden="1" customHeight="1">
      <c r="A75" s="111"/>
      <c r="B75" s="181"/>
      <c r="C75" s="145"/>
      <c r="D75" s="510"/>
      <c r="E75" s="1143"/>
      <c r="F75" s="1144"/>
      <c r="G75" s="1144"/>
      <c r="H75" s="1145"/>
      <c r="I75" s="1277"/>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F75" s="1278"/>
      <c r="AG75" s="1278"/>
      <c r="AH75" s="1278"/>
      <c r="AI75" s="1278"/>
      <c r="AJ75" s="1278"/>
      <c r="AK75" s="1278"/>
      <c r="AL75" s="1278"/>
      <c r="AM75" s="1278"/>
      <c r="AN75" s="1278"/>
      <c r="AO75" s="1278"/>
      <c r="AP75" s="1278"/>
      <c r="AQ75" s="1278"/>
      <c r="AR75" s="1278"/>
      <c r="AS75" s="1278"/>
      <c r="AT75" s="1400"/>
      <c r="AU75" s="122"/>
      <c r="AV75" s="508"/>
      <c r="BS75" s="116"/>
      <c r="BT75" s="116"/>
    </row>
    <row r="76" spans="1:72" ht="18" customHeight="1">
      <c r="A76" s="111"/>
      <c r="B76" s="181"/>
      <c r="C76" s="1295" t="s">
        <v>820</v>
      </c>
      <c r="D76" s="1296"/>
      <c r="E76" s="1296"/>
      <c r="F76" s="1296"/>
      <c r="G76" s="1296"/>
      <c r="H76" s="1297"/>
      <c r="I76" s="1298" t="s">
        <v>2199</v>
      </c>
      <c r="J76" s="1299"/>
      <c r="K76" s="1299"/>
      <c r="L76" s="1299"/>
      <c r="M76" s="1299"/>
      <c r="N76" s="350" t="s">
        <v>1231</v>
      </c>
      <c r="O76" s="1299" t="s">
        <v>2226</v>
      </c>
      <c r="P76" s="1299"/>
      <c r="Q76" s="1299"/>
      <c r="R76" s="1299"/>
      <c r="S76" s="350" t="s">
        <v>1182</v>
      </c>
      <c r="T76" s="1299" t="s">
        <v>2226</v>
      </c>
      <c r="U76" s="1299"/>
      <c r="V76" s="1299"/>
      <c r="W76" s="1299"/>
      <c r="X76" s="1300"/>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3"/>
      <c r="AU76" s="122"/>
      <c r="AV76" s="114" t="str">
        <f>IF(AND(I76&lt;&gt;"",O76&lt;&gt;"",T76&lt;&gt;""),IF(LENB(I76)+LENB(O76)+LENB(T76)&lt;13,"OK","NG"),"OK")</f>
        <v>OK</v>
      </c>
      <c r="BS76" s="116"/>
      <c r="BT76" s="116"/>
    </row>
    <row r="77" spans="1:72" ht="18" customHeight="1">
      <c r="A77" s="111"/>
      <c r="B77" s="181"/>
      <c r="C77" s="1327" t="s">
        <v>821</v>
      </c>
      <c r="D77" s="1141"/>
      <c r="E77" s="1141"/>
      <c r="F77" s="1141"/>
      <c r="G77" s="1141"/>
      <c r="H77" s="1142"/>
      <c r="I77" s="1402" t="s">
        <v>2227</v>
      </c>
      <c r="J77" s="1403"/>
      <c r="K77" s="1403"/>
      <c r="L77" s="1403"/>
      <c r="M77" s="1403"/>
      <c r="N77" s="1403"/>
      <c r="O77" s="1403"/>
      <c r="P77" s="1403"/>
      <c r="Q77" s="1403"/>
      <c r="R77" s="1403"/>
      <c r="S77" s="1403"/>
      <c r="T77" s="1403"/>
      <c r="U77" s="1403"/>
      <c r="V77" s="1403"/>
      <c r="W77" s="1403"/>
      <c r="X77" s="1403"/>
      <c r="Y77" s="1403"/>
      <c r="Z77" s="1403"/>
      <c r="AA77" s="1403"/>
      <c r="AB77" s="1403"/>
      <c r="AC77" s="1403"/>
      <c r="AD77" s="1403"/>
      <c r="AE77" s="1403"/>
      <c r="AF77" s="1403"/>
      <c r="AG77" s="1403"/>
      <c r="AH77" s="1403"/>
      <c r="AI77" s="1403"/>
      <c r="AJ77" s="1403"/>
      <c r="AK77" s="1403"/>
      <c r="AL77" s="1403"/>
      <c r="AM77" s="1403"/>
      <c r="AN77" s="1403"/>
      <c r="AO77" s="1403"/>
      <c r="AP77" s="1403"/>
      <c r="AQ77" s="1403"/>
      <c r="AR77" s="1403"/>
      <c r="AS77" s="1403"/>
      <c r="AT77" s="1404"/>
      <c r="AU77" s="122"/>
      <c r="BE77" s="311"/>
      <c r="BF77" s="312"/>
      <c r="BG77" s="313"/>
      <c r="BH77" s="313"/>
      <c r="BI77" s="313"/>
      <c r="BS77" s="116"/>
      <c r="BT77" s="116"/>
    </row>
    <row r="78" spans="1:72" ht="18" customHeight="1">
      <c r="A78" s="111"/>
      <c r="B78" s="181"/>
      <c r="C78" s="1167"/>
      <c r="D78" s="1144"/>
      <c r="E78" s="1144"/>
      <c r="F78" s="1144"/>
      <c r="G78" s="1144"/>
      <c r="H78" s="1145"/>
      <c r="I78" s="1405"/>
      <c r="J78" s="1406"/>
      <c r="K78" s="1406"/>
      <c r="L78" s="1406"/>
      <c r="M78" s="1406"/>
      <c r="N78" s="1406"/>
      <c r="O78" s="1406"/>
      <c r="P78" s="1406"/>
      <c r="Q78" s="1406"/>
      <c r="R78" s="1406"/>
      <c r="S78" s="1406"/>
      <c r="T78" s="1406"/>
      <c r="U78" s="1406"/>
      <c r="V78" s="1406"/>
      <c r="W78" s="1406"/>
      <c r="X78" s="1406"/>
      <c r="Y78" s="1406"/>
      <c r="Z78" s="1406"/>
      <c r="AA78" s="1406"/>
      <c r="AB78" s="1406"/>
      <c r="AC78" s="1406"/>
      <c r="AD78" s="1406"/>
      <c r="AE78" s="1406"/>
      <c r="AF78" s="1406"/>
      <c r="AG78" s="1406"/>
      <c r="AH78" s="1406"/>
      <c r="AI78" s="1406"/>
      <c r="AJ78" s="1406"/>
      <c r="AK78" s="1406"/>
      <c r="AL78" s="1406"/>
      <c r="AM78" s="1406"/>
      <c r="AN78" s="1406"/>
      <c r="AO78" s="1406"/>
      <c r="AP78" s="1406"/>
      <c r="AQ78" s="1406"/>
      <c r="AR78" s="1406"/>
      <c r="AS78" s="1406"/>
      <c r="AT78" s="1407"/>
      <c r="AU78" s="122"/>
      <c r="BS78" s="116"/>
      <c r="BT78" s="116"/>
    </row>
    <row r="79" spans="1:72" ht="18.649999999999999" customHeight="1">
      <c r="A79" s="111"/>
      <c r="B79" s="181"/>
      <c r="C79" s="1327" t="s">
        <v>822</v>
      </c>
      <c r="D79" s="1141"/>
      <c r="E79" s="1141"/>
      <c r="F79" s="1141"/>
      <c r="G79" s="1141"/>
      <c r="H79" s="1142"/>
      <c r="I79" s="1408" t="s">
        <v>801</v>
      </c>
      <c r="J79" s="1409"/>
      <c r="K79" s="1412" t="s">
        <v>823</v>
      </c>
      <c r="L79" s="1403" t="s">
        <v>794</v>
      </c>
      <c r="M79" s="1403"/>
      <c r="N79" s="1412" t="s">
        <v>824</v>
      </c>
      <c r="O79" s="1409" t="s">
        <v>812</v>
      </c>
      <c r="P79" s="1409"/>
      <c r="Q79" s="1412" t="s">
        <v>823</v>
      </c>
      <c r="R79" s="1403" t="s">
        <v>788</v>
      </c>
      <c r="S79" s="1414"/>
      <c r="T79" s="1140" t="s">
        <v>825</v>
      </c>
      <c r="U79" s="1141"/>
      <c r="V79" s="1141"/>
      <c r="W79" s="1141"/>
      <c r="X79" s="1141"/>
      <c r="Y79" s="1142"/>
      <c r="Z79" s="1138" t="s">
        <v>826</v>
      </c>
      <c r="AA79" s="1138"/>
      <c r="AB79" s="1138" t="s">
        <v>827</v>
      </c>
      <c r="AC79" s="1138"/>
      <c r="AD79" s="1138" t="s">
        <v>828</v>
      </c>
      <c r="AE79" s="1138"/>
      <c r="AF79" s="1138" t="s">
        <v>829</v>
      </c>
      <c r="AG79" s="1138"/>
      <c r="AH79" s="1138" t="s">
        <v>830</v>
      </c>
      <c r="AI79" s="1138"/>
      <c r="AJ79" s="1138" t="s">
        <v>831</v>
      </c>
      <c r="AK79" s="1138"/>
      <c r="AL79" s="1138" t="s">
        <v>832</v>
      </c>
      <c r="AM79" s="1138"/>
      <c r="AN79" s="1138" t="s">
        <v>833</v>
      </c>
      <c r="AO79" s="1138"/>
      <c r="AP79" s="198"/>
      <c r="AQ79" s="198"/>
      <c r="AR79" s="198"/>
      <c r="AS79" s="198"/>
      <c r="AT79" s="199"/>
      <c r="AU79" s="122"/>
      <c r="AV79" s="197" t="str">
        <f>IF(AV80=TRUE,"月","")</f>
        <v/>
      </c>
      <c r="AW79" s="197" t="str">
        <f>IF(AW80=TRUE,"火","")</f>
        <v/>
      </c>
      <c r="AX79" s="197" t="str">
        <f>IF(AX80=TRUE,"水","")</f>
        <v/>
      </c>
      <c r="AY79" s="197" t="str">
        <f>IF(AY80=TRUE,"木","")</f>
        <v/>
      </c>
      <c r="AZ79" s="197" t="str">
        <f>IF(AZ80=TRUE,"金","")</f>
        <v/>
      </c>
      <c r="BA79" s="197" t="str">
        <f>IF(BA80=TRUE,"土","")</f>
        <v/>
      </c>
      <c r="BB79" s="197" t="str">
        <f>IF(BB80=TRUE,"日","")</f>
        <v>日</v>
      </c>
      <c r="BC79" s="197" t="str">
        <f>IF(BC80=TRUE,"祝","")</f>
        <v/>
      </c>
      <c r="BD79" s="114" t="str">
        <f>AV79&amp;AW79&amp;AX79&amp;AY79&amp;AZ79&amp;BA79&amp;BB79&amp;BC79</f>
        <v>日</v>
      </c>
      <c r="BS79" s="116"/>
      <c r="BT79" s="116"/>
    </row>
    <row r="80" spans="1:72" ht="18.649999999999999" customHeight="1">
      <c r="A80" s="111"/>
      <c r="B80" s="181"/>
      <c r="C80" s="1167"/>
      <c r="D80" s="1144"/>
      <c r="E80" s="1144"/>
      <c r="F80" s="1144"/>
      <c r="G80" s="1144"/>
      <c r="H80" s="1145"/>
      <c r="I80" s="1410"/>
      <c r="J80" s="1411"/>
      <c r="K80" s="1413"/>
      <c r="L80" s="1406"/>
      <c r="M80" s="1406"/>
      <c r="N80" s="1413"/>
      <c r="O80" s="1411"/>
      <c r="P80" s="1411"/>
      <c r="Q80" s="1413"/>
      <c r="R80" s="1406"/>
      <c r="S80" s="1415"/>
      <c r="T80" s="1143"/>
      <c r="U80" s="1144"/>
      <c r="V80" s="1144"/>
      <c r="W80" s="1144"/>
      <c r="X80" s="1144"/>
      <c r="Y80" s="1145"/>
      <c r="Z80" s="1416"/>
      <c r="AA80" s="1416"/>
      <c r="AB80" s="1416"/>
      <c r="AC80" s="1416"/>
      <c r="AD80" s="1416"/>
      <c r="AE80" s="1416"/>
      <c r="AF80" s="1416"/>
      <c r="AG80" s="1416"/>
      <c r="AH80" s="1139"/>
      <c r="AI80" s="1139"/>
      <c r="AJ80" s="1139" t="s">
        <v>2018</v>
      </c>
      <c r="AK80" s="1139"/>
      <c r="AL80" s="1139"/>
      <c r="AM80" s="1139"/>
      <c r="AN80" s="1139"/>
      <c r="AO80" s="1139"/>
      <c r="AP80" s="200"/>
      <c r="AQ80" s="200"/>
      <c r="AR80" s="200"/>
      <c r="AS80" s="200"/>
      <c r="AT80" s="201"/>
      <c r="AU80" s="122"/>
      <c r="AV80" s="114" t="b">
        <v>0</v>
      </c>
      <c r="AW80" s="114" t="b">
        <v>0</v>
      </c>
      <c r="AX80" s="114" t="b">
        <v>0</v>
      </c>
      <c r="AY80" s="114" t="b">
        <v>0</v>
      </c>
      <c r="AZ80" s="114" t="b">
        <v>0</v>
      </c>
      <c r="BA80" s="114" t="b">
        <v>0</v>
      </c>
      <c r="BB80" s="114" t="b">
        <v>1</v>
      </c>
      <c r="BC80" s="114" t="b">
        <v>0</v>
      </c>
      <c r="BD80" s="202" t="str">
        <f>I79&amp;K79&amp;L79&amp;N79&amp;O79&amp;Q79&amp;R79&amp;"  休業日"&amp;"（"&amp;BD79&amp;"）"</f>
        <v>08：30～22：00  休業日（日）</v>
      </c>
      <c r="BE80" s="203"/>
      <c r="BF80" s="202"/>
      <c r="BG80" s="202"/>
      <c r="BH80" s="202"/>
      <c r="BI80" s="202"/>
      <c r="BS80" s="116"/>
      <c r="BT80" s="116"/>
    </row>
    <row r="81" spans="1:72" ht="18.649999999999999" customHeight="1">
      <c r="A81" s="113"/>
      <c r="B81" s="181"/>
      <c r="C81" s="1327" t="s">
        <v>835</v>
      </c>
      <c r="D81" s="1141"/>
      <c r="E81" s="1141"/>
      <c r="F81" s="1141"/>
      <c r="G81" s="1141"/>
      <c r="H81" s="1142"/>
      <c r="I81" s="1417" t="s">
        <v>2229</v>
      </c>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9"/>
      <c r="AU81" s="122"/>
      <c r="BS81" s="116"/>
      <c r="BT81" s="116"/>
    </row>
    <row r="82" spans="1:72" ht="18.649999999999999" customHeight="1">
      <c r="A82" s="113"/>
      <c r="B82" s="181"/>
      <c r="C82" s="1167"/>
      <c r="D82" s="1144"/>
      <c r="E82" s="1144"/>
      <c r="F82" s="1144"/>
      <c r="G82" s="1144"/>
      <c r="H82" s="1145"/>
      <c r="I82" s="1420"/>
      <c r="J82" s="1421"/>
      <c r="K82" s="1421"/>
      <c r="L82" s="1421"/>
      <c r="M82" s="1421"/>
      <c r="N82" s="1421"/>
      <c r="O82" s="1421"/>
      <c r="P82" s="1421"/>
      <c r="Q82" s="1421"/>
      <c r="R82" s="1421"/>
      <c r="S82" s="1421"/>
      <c r="T82" s="1421"/>
      <c r="U82" s="1421"/>
      <c r="V82" s="1421"/>
      <c r="W82" s="1421"/>
      <c r="X82" s="1421"/>
      <c r="Y82" s="1421"/>
      <c r="Z82" s="1421"/>
      <c r="AA82" s="1421"/>
      <c r="AB82" s="1421"/>
      <c r="AC82" s="1421"/>
      <c r="AD82" s="1421"/>
      <c r="AE82" s="1421"/>
      <c r="AF82" s="1421"/>
      <c r="AG82" s="1421"/>
      <c r="AH82" s="1421"/>
      <c r="AI82" s="1421"/>
      <c r="AJ82" s="1421"/>
      <c r="AK82" s="1421"/>
      <c r="AL82" s="1421"/>
      <c r="AM82" s="1421"/>
      <c r="AN82" s="1421"/>
      <c r="AO82" s="1421"/>
      <c r="AP82" s="1421"/>
      <c r="AQ82" s="1421"/>
      <c r="AR82" s="1421"/>
      <c r="AS82" s="1421"/>
      <c r="AT82" s="1422"/>
      <c r="AU82" s="122"/>
      <c r="BS82" s="116"/>
      <c r="BT82" s="116"/>
    </row>
    <row r="83" spans="1:72" ht="18.649999999999999" customHeight="1">
      <c r="A83" s="113"/>
      <c r="B83" s="181"/>
      <c r="C83" s="1423" t="s">
        <v>3572</v>
      </c>
      <c r="D83" s="1424"/>
      <c r="E83" s="1424"/>
      <c r="F83" s="1424"/>
      <c r="G83" s="1424"/>
      <c r="H83" s="1425"/>
      <c r="I83" s="1426" t="s">
        <v>2228</v>
      </c>
      <c r="J83" s="1427"/>
      <c r="K83" s="1427"/>
      <c r="L83" s="1427"/>
      <c r="M83" s="1427"/>
      <c r="N83" s="1427"/>
      <c r="O83" s="1427"/>
      <c r="P83" s="1427"/>
      <c r="Q83" s="1427"/>
      <c r="R83" s="1427"/>
      <c r="S83" s="1427"/>
      <c r="T83" s="1427"/>
      <c r="U83" s="1427"/>
      <c r="V83" s="1427"/>
      <c r="W83" s="1427"/>
      <c r="X83" s="1427"/>
      <c r="Y83" s="1427"/>
      <c r="Z83" s="1427"/>
      <c r="AA83" s="1427"/>
      <c r="AB83" s="1427"/>
      <c r="AC83" s="1427"/>
      <c r="AD83" s="1427"/>
      <c r="AE83" s="1427"/>
      <c r="AF83" s="1427"/>
      <c r="AG83" s="1427"/>
      <c r="AH83" s="1427"/>
      <c r="AI83" s="1427"/>
      <c r="AJ83" s="1427"/>
      <c r="AK83" s="1427"/>
      <c r="AL83" s="1427"/>
      <c r="AM83" s="1427"/>
      <c r="AN83" s="1427"/>
      <c r="AO83" s="1427"/>
      <c r="AP83" s="1427"/>
      <c r="AQ83" s="1427"/>
      <c r="AR83" s="1427"/>
      <c r="AS83" s="1427"/>
      <c r="AT83" s="1428"/>
      <c r="AU83" s="122"/>
      <c r="AV83" s="508" t="str">
        <f>IF(AV2=FALSE,"OK",IF(AND(AV2=TRUE,I83&lt;&gt;""),"OK","NG"))</f>
        <v>OK</v>
      </c>
      <c r="BS83" s="116"/>
      <c r="BT83" s="116"/>
    </row>
    <row r="84" spans="1:72" ht="18.649999999999999" customHeight="1">
      <c r="A84" s="113"/>
      <c r="B84" s="181"/>
      <c r="C84" s="1423"/>
      <c r="D84" s="1424"/>
      <c r="E84" s="1424"/>
      <c r="F84" s="1424"/>
      <c r="G84" s="1424"/>
      <c r="H84" s="1425"/>
      <c r="I84" s="1429"/>
      <c r="J84" s="1430"/>
      <c r="K84" s="1430"/>
      <c r="L84" s="1430"/>
      <c r="M84" s="1430"/>
      <c r="N84" s="1430"/>
      <c r="O84" s="1430"/>
      <c r="P84" s="1430"/>
      <c r="Q84" s="1430"/>
      <c r="R84" s="1430"/>
      <c r="S84" s="1430"/>
      <c r="T84" s="1430"/>
      <c r="U84" s="1430"/>
      <c r="V84" s="1430"/>
      <c r="W84" s="1430"/>
      <c r="X84" s="1430"/>
      <c r="Y84" s="1430"/>
      <c r="Z84" s="1430"/>
      <c r="AA84" s="1430"/>
      <c r="AB84" s="1430"/>
      <c r="AC84" s="1430"/>
      <c r="AD84" s="1430"/>
      <c r="AE84" s="1430"/>
      <c r="AF84" s="1430"/>
      <c r="AG84" s="1430"/>
      <c r="AH84" s="1430"/>
      <c r="AI84" s="1430"/>
      <c r="AJ84" s="1430"/>
      <c r="AK84" s="1430"/>
      <c r="AL84" s="1430"/>
      <c r="AM84" s="1430"/>
      <c r="AN84" s="1430"/>
      <c r="AO84" s="1430"/>
      <c r="AP84" s="1430"/>
      <c r="AQ84" s="1430"/>
      <c r="AR84" s="1430"/>
      <c r="AS84" s="1430"/>
      <c r="AT84" s="1431"/>
      <c r="AU84" s="122"/>
      <c r="AV84" s="508"/>
      <c r="BQ84" s="224"/>
      <c r="BS84" s="116"/>
      <c r="BT84" s="116"/>
    </row>
    <row r="85" spans="1:72" ht="18.649999999999999" customHeight="1">
      <c r="A85" s="113"/>
      <c r="B85" s="181"/>
      <c r="C85" s="1164" t="s">
        <v>1087</v>
      </c>
      <c r="D85" s="1165"/>
      <c r="E85" s="1165"/>
      <c r="F85" s="1165"/>
      <c r="G85" s="1165"/>
      <c r="H85" s="1166"/>
      <c r="I85" s="1432" t="s">
        <v>2230</v>
      </c>
      <c r="J85" s="1433"/>
      <c r="K85" s="1433"/>
      <c r="L85" s="1433"/>
      <c r="M85" s="1433"/>
      <c r="N85" s="1433"/>
      <c r="O85" s="1433"/>
      <c r="P85" s="1433"/>
      <c r="Q85" s="1433"/>
      <c r="R85" s="1433"/>
      <c r="S85" s="1433"/>
      <c r="T85" s="1433"/>
      <c r="U85" s="1433"/>
      <c r="V85" s="1433"/>
      <c r="W85" s="1433"/>
      <c r="X85" s="1433"/>
      <c r="Y85" s="1433"/>
      <c r="Z85" s="1433"/>
      <c r="AA85" s="1434"/>
      <c r="AB85" s="1158" t="s">
        <v>1092</v>
      </c>
      <c r="AC85" s="1159"/>
      <c r="AD85" s="1159"/>
      <c r="AE85" s="1159"/>
      <c r="AF85" s="1160"/>
      <c r="AG85" s="1148" t="s">
        <v>1091</v>
      </c>
      <c r="AH85" s="1148"/>
      <c r="AI85" s="1146">
        <v>2000</v>
      </c>
      <c r="AJ85" s="1146"/>
      <c r="AK85" s="1148" t="s">
        <v>1090</v>
      </c>
      <c r="AL85" s="1148"/>
      <c r="AM85" s="1146">
        <v>2</v>
      </c>
      <c r="AN85" s="1146"/>
      <c r="AO85" s="1148" t="s">
        <v>1089</v>
      </c>
      <c r="AP85" s="1148"/>
      <c r="AQ85" s="1146">
        <v>1</v>
      </c>
      <c r="AR85" s="1146"/>
      <c r="AS85" s="1148" t="s">
        <v>1088</v>
      </c>
      <c r="AT85" s="1436"/>
      <c r="AU85" s="122"/>
      <c r="BS85" s="116"/>
      <c r="BT85" s="116"/>
    </row>
    <row r="86" spans="1:72" ht="18.649999999999999" customHeight="1">
      <c r="A86" s="113"/>
      <c r="B86" s="181"/>
      <c r="C86" s="1167"/>
      <c r="D86" s="1144"/>
      <c r="E86" s="1144"/>
      <c r="F86" s="1144"/>
      <c r="G86" s="1144"/>
      <c r="H86" s="1145"/>
      <c r="I86" s="1420"/>
      <c r="J86" s="1421"/>
      <c r="K86" s="1421"/>
      <c r="L86" s="1421"/>
      <c r="M86" s="1421"/>
      <c r="N86" s="1421"/>
      <c r="O86" s="1421"/>
      <c r="P86" s="1421"/>
      <c r="Q86" s="1421"/>
      <c r="R86" s="1421"/>
      <c r="S86" s="1421"/>
      <c r="T86" s="1421"/>
      <c r="U86" s="1421"/>
      <c r="V86" s="1421"/>
      <c r="W86" s="1421"/>
      <c r="X86" s="1421"/>
      <c r="Y86" s="1421"/>
      <c r="Z86" s="1421"/>
      <c r="AA86" s="1435"/>
      <c r="AB86" s="1158"/>
      <c r="AC86" s="1159"/>
      <c r="AD86" s="1159"/>
      <c r="AE86" s="1159"/>
      <c r="AF86" s="1160"/>
      <c r="AG86" s="1149"/>
      <c r="AH86" s="1149"/>
      <c r="AI86" s="1147"/>
      <c r="AJ86" s="1147"/>
      <c r="AK86" s="1149"/>
      <c r="AL86" s="1149"/>
      <c r="AM86" s="1147"/>
      <c r="AN86" s="1147"/>
      <c r="AO86" s="1149"/>
      <c r="AP86" s="1149"/>
      <c r="AQ86" s="1147"/>
      <c r="AR86" s="1147"/>
      <c r="AS86" s="1149"/>
      <c r="AT86" s="1437"/>
      <c r="AU86" s="122"/>
      <c r="BS86" s="116"/>
      <c r="BT86" s="116"/>
    </row>
    <row r="87" spans="1:72" ht="18.649999999999999" customHeight="1">
      <c r="A87" s="113"/>
      <c r="B87" s="181"/>
      <c r="C87" s="1327" t="s">
        <v>836</v>
      </c>
      <c r="D87" s="1141"/>
      <c r="E87" s="1141"/>
      <c r="F87" s="1141"/>
      <c r="G87" s="1141"/>
      <c r="H87" s="1142"/>
      <c r="I87" s="1438" t="s">
        <v>1052</v>
      </c>
      <c r="J87" s="1439"/>
      <c r="K87" s="1439"/>
      <c r="L87" s="1439"/>
      <c r="M87" s="1439"/>
      <c r="N87" s="1439"/>
      <c r="O87" s="1439"/>
      <c r="P87" s="1439"/>
      <c r="Q87" s="1439"/>
      <c r="R87" s="1439"/>
      <c r="S87" s="1440"/>
      <c r="T87" s="1140" t="s">
        <v>834</v>
      </c>
      <c r="U87" s="1141"/>
      <c r="V87" s="1141"/>
      <c r="W87" s="1141"/>
      <c r="X87" s="1141"/>
      <c r="Y87" s="1142"/>
      <c r="Z87" s="1444"/>
      <c r="AA87" s="1445"/>
      <c r="AB87" s="1445"/>
      <c r="AC87" s="1445"/>
      <c r="AD87" s="1445"/>
      <c r="AE87" s="1445"/>
      <c r="AF87" s="1445"/>
      <c r="AG87" s="1445"/>
      <c r="AH87" s="1445"/>
      <c r="AI87" s="1445"/>
      <c r="AJ87" s="1445"/>
      <c r="AK87" s="1446"/>
      <c r="AL87" s="1450" t="s">
        <v>780</v>
      </c>
      <c r="AM87" s="1450"/>
      <c r="AN87" s="1450"/>
      <c r="AO87" s="1450"/>
      <c r="AP87" s="1450"/>
      <c r="AQ87" s="1450"/>
      <c r="AR87" s="1450"/>
      <c r="AS87" s="1450"/>
      <c r="AT87" s="1451"/>
      <c r="AU87" s="122"/>
      <c r="AV87" s="114" t="str">
        <f>IF(AL88="00：選択して下さい","NG","OK")</f>
        <v>OK</v>
      </c>
      <c r="AW87" s="114" t="str">
        <f>IF(AND(AV88="05",Z87=""),"NG","OK")</f>
        <v>OK</v>
      </c>
      <c r="BQ87" s="224"/>
      <c r="BS87" s="116"/>
      <c r="BT87" s="116"/>
    </row>
    <row r="88" spans="1:72" ht="18.649999999999999" customHeight="1">
      <c r="A88" s="113"/>
      <c r="B88" s="181"/>
      <c r="C88" s="1167"/>
      <c r="D88" s="1144"/>
      <c r="E88" s="1144"/>
      <c r="F88" s="1144"/>
      <c r="G88" s="1144"/>
      <c r="H88" s="1145"/>
      <c r="I88" s="1441"/>
      <c r="J88" s="1442"/>
      <c r="K88" s="1442"/>
      <c r="L88" s="1442"/>
      <c r="M88" s="1442"/>
      <c r="N88" s="1442"/>
      <c r="O88" s="1442"/>
      <c r="P88" s="1442"/>
      <c r="Q88" s="1442"/>
      <c r="R88" s="1442"/>
      <c r="S88" s="1443"/>
      <c r="T88" s="1143"/>
      <c r="U88" s="1144"/>
      <c r="V88" s="1144"/>
      <c r="W88" s="1144"/>
      <c r="X88" s="1144"/>
      <c r="Y88" s="1145"/>
      <c r="Z88" s="1447"/>
      <c r="AA88" s="1448"/>
      <c r="AB88" s="1448"/>
      <c r="AC88" s="1448"/>
      <c r="AD88" s="1448"/>
      <c r="AE88" s="1448"/>
      <c r="AF88" s="1448"/>
      <c r="AG88" s="1448"/>
      <c r="AH88" s="1448"/>
      <c r="AI88" s="1448"/>
      <c r="AJ88" s="1448"/>
      <c r="AK88" s="1449"/>
      <c r="AL88" s="1452" t="s">
        <v>331</v>
      </c>
      <c r="AM88" s="1452"/>
      <c r="AN88" s="1452"/>
      <c r="AO88" s="1452"/>
      <c r="AP88" s="1452"/>
      <c r="AQ88" s="1452"/>
      <c r="AR88" s="1452"/>
      <c r="AS88" s="1452"/>
      <c r="AT88" s="1453"/>
      <c r="AU88" s="122"/>
      <c r="AV88" s="114" t="str">
        <f>LEFT(I87,2)</f>
        <v>01</v>
      </c>
      <c r="AW88" s="340" t="str">
        <f>LEFT(VLOOKUP(AL88,AZ2:BA18,2,FALSE),1)</f>
        <v>1</v>
      </c>
      <c r="AX88" s="512" t="str">
        <f>IF(AV88="00","",LEFT(VLOOKUP(AV88,BK15:BL21,2,FALSE),2))</f>
        <v>01</v>
      </c>
      <c r="AY88" s="512" t="str">
        <f>IF(AV88="07",T(Z87),IF(AV88="05","電話勧誘販売",IF(AV88="06","連鎖販売","")))</f>
        <v/>
      </c>
      <c r="AZ88" s="512" t="str">
        <f>IF(AV88="00","",LEFT(VLOOKUP(AV88,BK24:BL30,2,FALSE),2))</f>
        <v>01</v>
      </c>
      <c r="BQ88" s="224"/>
      <c r="BS88" s="116"/>
      <c r="BT88" s="116"/>
    </row>
    <row r="89" spans="1:72" ht="18.649999999999999" customHeight="1">
      <c r="A89" s="113"/>
      <c r="B89" s="181"/>
      <c r="C89" s="1327" t="s">
        <v>864</v>
      </c>
      <c r="D89" s="1141"/>
      <c r="E89" s="1141"/>
      <c r="F89" s="1141"/>
      <c r="G89" s="1141"/>
      <c r="H89" s="1142"/>
      <c r="I89" s="1454">
        <v>5000000</v>
      </c>
      <c r="J89" s="1455"/>
      <c r="K89" s="1455"/>
      <c r="L89" s="1455"/>
      <c r="M89" s="1455"/>
      <c r="N89" s="1455"/>
      <c r="O89" s="1455"/>
      <c r="P89" s="1455"/>
      <c r="Q89" s="1455"/>
      <c r="R89" s="1455"/>
      <c r="S89" s="1458" t="s">
        <v>837</v>
      </c>
      <c r="T89" s="1459" t="s">
        <v>436</v>
      </c>
      <c r="U89" s="1459"/>
      <c r="V89" s="1459"/>
      <c r="W89" s="1459"/>
      <c r="X89" s="1459"/>
      <c r="Y89" s="1459"/>
      <c r="Z89" s="1460">
        <v>1000</v>
      </c>
      <c r="AA89" s="1461"/>
      <c r="AB89" s="1461"/>
      <c r="AC89" s="1461"/>
      <c r="AD89" s="1461"/>
      <c r="AE89" s="1464" t="s">
        <v>837</v>
      </c>
      <c r="AF89" s="1466" t="s">
        <v>438</v>
      </c>
      <c r="AG89" s="1461">
        <v>10000</v>
      </c>
      <c r="AH89" s="1461"/>
      <c r="AI89" s="1461"/>
      <c r="AJ89" s="1461"/>
      <c r="AK89" s="1468" t="s">
        <v>437</v>
      </c>
      <c r="AL89" s="1459" t="s">
        <v>439</v>
      </c>
      <c r="AM89" s="1459"/>
      <c r="AN89" s="1459"/>
      <c r="AO89" s="1459"/>
      <c r="AP89" s="1460">
        <v>1000</v>
      </c>
      <c r="AQ89" s="1461"/>
      <c r="AR89" s="1461"/>
      <c r="AS89" s="1461"/>
      <c r="AT89" s="1381" t="s">
        <v>437</v>
      </c>
      <c r="AU89" s="122"/>
      <c r="BQ89" s="224"/>
      <c r="BS89" s="116"/>
      <c r="BT89" s="116"/>
    </row>
    <row r="90" spans="1:72" ht="18.649999999999999" customHeight="1">
      <c r="A90" s="113"/>
      <c r="B90" s="181"/>
      <c r="C90" s="1167"/>
      <c r="D90" s="1144"/>
      <c r="E90" s="1144"/>
      <c r="F90" s="1144"/>
      <c r="G90" s="1144"/>
      <c r="H90" s="1145"/>
      <c r="I90" s="1456"/>
      <c r="J90" s="1457"/>
      <c r="K90" s="1457"/>
      <c r="L90" s="1457"/>
      <c r="M90" s="1457"/>
      <c r="N90" s="1457"/>
      <c r="O90" s="1457"/>
      <c r="P90" s="1457"/>
      <c r="Q90" s="1457"/>
      <c r="R90" s="1457"/>
      <c r="S90" s="1149"/>
      <c r="T90" s="1459"/>
      <c r="U90" s="1459"/>
      <c r="V90" s="1459"/>
      <c r="W90" s="1459"/>
      <c r="X90" s="1459"/>
      <c r="Y90" s="1459"/>
      <c r="Z90" s="1462"/>
      <c r="AA90" s="1463"/>
      <c r="AB90" s="1463"/>
      <c r="AC90" s="1463"/>
      <c r="AD90" s="1463"/>
      <c r="AE90" s="1465"/>
      <c r="AF90" s="1467"/>
      <c r="AG90" s="1463"/>
      <c r="AH90" s="1463"/>
      <c r="AI90" s="1463"/>
      <c r="AJ90" s="1463"/>
      <c r="AK90" s="1469"/>
      <c r="AL90" s="1459"/>
      <c r="AM90" s="1459"/>
      <c r="AN90" s="1459"/>
      <c r="AO90" s="1459"/>
      <c r="AP90" s="1462"/>
      <c r="AQ90" s="1463"/>
      <c r="AR90" s="1463"/>
      <c r="AS90" s="1463"/>
      <c r="AT90" s="1470"/>
      <c r="AU90" s="122"/>
      <c r="AV90" s="197" t="s">
        <v>869</v>
      </c>
      <c r="AW90" s="197" t="s">
        <v>868</v>
      </c>
      <c r="AX90" s="197" t="s">
        <v>867</v>
      </c>
      <c r="AY90" s="197" t="s">
        <v>834</v>
      </c>
      <c r="AZ90" s="197" t="s">
        <v>874</v>
      </c>
      <c r="BA90" s="197" t="s">
        <v>872</v>
      </c>
      <c r="BB90" s="197" t="s">
        <v>873</v>
      </c>
      <c r="BC90" s="197" t="s">
        <v>878</v>
      </c>
      <c r="BQ90" s="224"/>
      <c r="BS90" s="116"/>
      <c r="BT90" s="116"/>
    </row>
    <row r="91" spans="1:72" ht="18.649999999999999" customHeight="1">
      <c r="A91" s="113"/>
      <c r="B91" s="181"/>
      <c r="C91" s="1327" t="s">
        <v>443</v>
      </c>
      <c r="D91" s="1141"/>
      <c r="E91" s="1141"/>
      <c r="F91" s="1141"/>
      <c r="G91" s="1141"/>
      <c r="H91" s="1142"/>
      <c r="I91" s="188"/>
      <c r="J91" s="189"/>
      <c r="K91" s="191" t="s">
        <v>871</v>
      </c>
      <c r="L91" s="191"/>
      <c r="M91" s="192"/>
      <c r="N91" s="193"/>
      <c r="O91" s="191" t="s">
        <v>872</v>
      </c>
      <c r="P91" s="191"/>
      <c r="Q91" s="190"/>
      <c r="R91" s="190"/>
      <c r="S91" s="191" t="s">
        <v>873</v>
      </c>
      <c r="T91" s="191"/>
      <c r="U91" s="191"/>
      <c r="V91" s="192"/>
      <c r="W91" s="191"/>
      <c r="X91" s="191" t="s">
        <v>870</v>
      </c>
      <c r="Y91" s="191"/>
      <c r="Z91" s="194"/>
      <c r="AA91" s="192"/>
      <c r="AB91" s="191" t="s">
        <v>876</v>
      </c>
      <c r="AC91" s="191"/>
      <c r="AD91" s="191"/>
      <c r="AE91" s="195"/>
      <c r="AF91" s="191"/>
      <c r="AG91" s="191" t="s">
        <v>444</v>
      </c>
      <c r="AH91" s="196"/>
      <c r="AI91" s="1471" t="s">
        <v>445</v>
      </c>
      <c r="AJ91" s="1472"/>
      <c r="AK91" s="1472"/>
      <c r="AL91" s="1472"/>
      <c r="AM91" s="1472"/>
      <c r="AN91" s="1472"/>
      <c r="AO91" s="1472"/>
      <c r="AP91" s="1472"/>
      <c r="AQ91" s="1472"/>
      <c r="AR91" s="1472"/>
      <c r="AS91" s="1472"/>
      <c r="AT91" s="1473"/>
      <c r="AU91" s="122"/>
      <c r="AV91" s="114" t="b">
        <v>0</v>
      </c>
      <c r="AW91" s="114" t="b">
        <v>0</v>
      </c>
      <c r="AX91" s="114" t="b">
        <v>0</v>
      </c>
      <c r="AY91" s="114" t="b">
        <v>0</v>
      </c>
      <c r="AZ91" s="114" t="b">
        <v>0</v>
      </c>
      <c r="BA91" s="114" t="b">
        <v>1</v>
      </c>
      <c r="BB91" s="114" t="b">
        <v>0</v>
      </c>
      <c r="BC91" s="114" t="b">
        <v>0</v>
      </c>
      <c r="BQ91" s="224"/>
      <c r="BS91" s="116"/>
      <c r="BT91" s="116"/>
    </row>
    <row r="92" spans="1:72" ht="18.649999999999999" customHeight="1">
      <c r="A92" s="113"/>
      <c r="B92" s="181"/>
      <c r="C92" s="1150"/>
      <c r="D92" s="1151"/>
      <c r="E92" s="1151"/>
      <c r="F92" s="1151"/>
      <c r="G92" s="1151"/>
      <c r="H92" s="1152"/>
      <c r="I92" s="1474" t="s">
        <v>762</v>
      </c>
      <c r="J92" s="1475"/>
      <c r="K92" s="1475"/>
      <c r="L92" s="1475"/>
      <c r="M92" s="1476"/>
      <c r="N92" s="1477" t="s">
        <v>2231</v>
      </c>
      <c r="O92" s="1478"/>
      <c r="P92" s="1478"/>
      <c r="Q92" s="1478"/>
      <c r="R92" s="1478"/>
      <c r="S92" s="1478"/>
      <c r="T92" s="1478"/>
      <c r="U92" s="1478"/>
      <c r="V92" s="1479"/>
      <c r="W92" s="1474" t="s">
        <v>447</v>
      </c>
      <c r="X92" s="1475"/>
      <c r="Y92" s="1475"/>
      <c r="Z92" s="1475"/>
      <c r="AA92" s="1476"/>
      <c r="AB92" s="1480" t="s">
        <v>2232</v>
      </c>
      <c r="AC92" s="1481"/>
      <c r="AD92" s="1481"/>
      <c r="AE92" s="1481"/>
      <c r="AF92" s="1481"/>
      <c r="AG92" s="1481"/>
      <c r="AH92" s="1482"/>
      <c r="AI92" s="1474" t="s">
        <v>764</v>
      </c>
      <c r="AJ92" s="1475"/>
      <c r="AK92" s="1475"/>
      <c r="AL92" s="1475"/>
      <c r="AM92" s="1476"/>
      <c r="AN92" s="1477">
        <v>1966</v>
      </c>
      <c r="AO92" s="1478"/>
      <c r="AP92" s="315" t="s">
        <v>765</v>
      </c>
      <c r="AQ92" s="316">
        <v>6</v>
      </c>
      <c r="AR92" s="315" t="s">
        <v>766</v>
      </c>
      <c r="AS92" s="316">
        <v>6</v>
      </c>
      <c r="AT92" s="317" t="s">
        <v>767</v>
      </c>
      <c r="AU92" s="122"/>
      <c r="AV92" s="114" t="str">
        <f>IF(OR(AV91=TRUE,AW91=TRUE,AX91=TRUE,AY91=TRUE,AZ91=TRUE,BA91=TRUE,BB91=TRUE),"免許有","免許無")</f>
        <v>免許有</v>
      </c>
      <c r="AW92" s="114" t="str">
        <f>IF(OR(AV92="免許無",AND(AV92="免許有",N92&lt;&gt;"",AB92&lt;&gt;"",AN92&lt;&gt;"",AQ92&lt;&gt;"",AS92&lt;&gt;"")),"OK","NG")</f>
        <v>OK</v>
      </c>
      <c r="BS92" s="116"/>
      <c r="BT92" s="116"/>
    </row>
    <row r="93" spans="1:72" ht="18.649999999999999" customHeight="1">
      <c r="A93" s="113"/>
      <c r="B93" s="181"/>
      <c r="C93" s="1483" t="s">
        <v>1077</v>
      </c>
      <c r="D93" s="1484"/>
      <c r="E93" s="1484"/>
      <c r="F93" s="1484"/>
      <c r="G93" s="1484"/>
      <c r="H93" s="1484"/>
      <c r="I93" s="322"/>
      <c r="J93" s="323"/>
      <c r="K93" s="1485" t="s">
        <v>1093</v>
      </c>
      <c r="L93" s="1485"/>
      <c r="M93" s="323"/>
      <c r="N93" s="323"/>
      <c r="O93" s="1485" t="s">
        <v>1094</v>
      </c>
      <c r="P93" s="1485"/>
      <c r="Q93" s="324"/>
      <c r="R93" s="1459" t="s">
        <v>1078</v>
      </c>
      <c r="S93" s="1459"/>
      <c r="T93" s="1459"/>
      <c r="U93" s="1459"/>
      <c r="V93" s="1459"/>
      <c r="W93" s="1459"/>
      <c r="X93" s="322"/>
      <c r="Y93" s="323"/>
      <c r="Z93" s="1485" t="s">
        <v>1093</v>
      </c>
      <c r="AA93" s="1485"/>
      <c r="AB93" s="323"/>
      <c r="AC93" s="323"/>
      <c r="AD93" s="1485" t="s">
        <v>1094</v>
      </c>
      <c r="AE93" s="1485"/>
      <c r="AF93" s="324"/>
      <c r="AG93" s="1459" t="s">
        <v>1079</v>
      </c>
      <c r="AH93" s="1459"/>
      <c r="AI93" s="1459"/>
      <c r="AJ93" s="1459"/>
      <c r="AK93" s="1459"/>
      <c r="AL93" s="1459"/>
      <c r="AM93" s="318"/>
      <c r="AN93" s="319"/>
      <c r="AO93" s="1487" t="s">
        <v>1093</v>
      </c>
      <c r="AP93" s="1487"/>
      <c r="AQ93" s="319"/>
      <c r="AR93" s="319"/>
      <c r="AS93" s="1487" t="s">
        <v>1095</v>
      </c>
      <c r="AT93" s="1489"/>
      <c r="AU93" s="122"/>
      <c r="AV93" s="197" t="s">
        <v>1082</v>
      </c>
      <c r="AW93" s="197" t="s">
        <v>1083</v>
      </c>
      <c r="AX93" s="197" t="s">
        <v>1084</v>
      </c>
      <c r="AY93" s="114" t="str">
        <f>IF(OR(AV94=0,AW94=0,AX94=0,AV96=0,AW96=0,AX96=0),"NG","OK")</f>
        <v>OK</v>
      </c>
      <c r="AZ93" s="341"/>
      <c r="BQ93" s="224"/>
      <c r="BS93" s="116"/>
      <c r="BT93" s="116"/>
    </row>
    <row r="94" spans="1:72" ht="18.649999999999999" customHeight="1">
      <c r="A94" s="113"/>
      <c r="B94" s="181"/>
      <c r="C94" s="1483"/>
      <c r="D94" s="1484"/>
      <c r="E94" s="1484"/>
      <c r="F94" s="1484"/>
      <c r="G94" s="1484"/>
      <c r="H94" s="1484"/>
      <c r="I94" s="325"/>
      <c r="J94" s="326"/>
      <c r="K94" s="1486"/>
      <c r="L94" s="1486"/>
      <c r="M94" s="326"/>
      <c r="N94" s="326"/>
      <c r="O94" s="1486"/>
      <c r="P94" s="1486"/>
      <c r="Q94" s="327"/>
      <c r="R94" s="1459"/>
      <c r="S94" s="1459"/>
      <c r="T94" s="1459"/>
      <c r="U94" s="1459"/>
      <c r="V94" s="1459"/>
      <c r="W94" s="1459"/>
      <c r="X94" s="325"/>
      <c r="Y94" s="326"/>
      <c r="Z94" s="1486"/>
      <c r="AA94" s="1486"/>
      <c r="AB94" s="326"/>
      <c r="AC94" s="326"/>
      <c r="AD94" s="1486"/>
      <c r="AE94" s="1486"/>
      <c r="AF94" s="327"/>
      <c r="AG94" s="1459"/>
      <c r="AH94" s="1459"/>
      <c r="AI94" s="1459"/>
      <c r="AJ94" s="1459"/>
      <c r="AK94" s="1459"/>
      <c r="AL94" s="1459"/>
      <c r="AM94" s="320"/>
      <c r="AN94" s="321"/>
      <c r="AO94" s="1488"/>
      <c r="AP94" s="1488"/>
      <c r="AQ94" s="321"/>
      <c r="AR94" s="321"/>
      <c r="AS94" s="1488"/>
      <c r="AT94" s="1490"/>
      <c r="AU94" s="122"/>
      <c r="AV94" s="114">
        <v>1</v>
      </c>
      <c r="AW94" s="114">
        <v>1</v>
      </c>
      <c r="AX94" s="114">
        <v>1</v>
      </c>
      <c r="AZ94" s="341"/>
      <c r="BS94" s="116"/>
      <c r="BT94" s="116"/>
    </row>
    <row r="95" spans="1:72" ht="18.649999999999999" customHeight="1">
      <c r="A95" s="113"/>
      <c r="B95" s="181"/>
      <c r="C95" s="1483" t="s">
        <v>1080</v>
      </c>
      <c r="D95" s="1484"/>
      <c r="E95" s="1484"/>
      <c r="F95" s="1484"/>
      <c r="G95" s="1484"/>
      <c r="H95" s="1484"/>
      <c r="I95" s="322"/>
      <c r="J95" s="323"/>
      <c r="K95" s="1485" t="s">
        <v>1093</v>
      </c>
      <c r="L95" s="1485"/>
      <c r="M95" s="323"/>
      <c r="N95" s="323"/>
      <c r="O95" s="1485" t="s">
        <v>1094</v>
      </c>
      <c r="P95" s="1485"/>
      <c r="Q95" s="324"/>
      <c r="R95" s="1491" t="s">
        <v>1081</v>
      </c>
      <c r="S95" s="1459"/>
      <c r="T95" s="1459"/>
      <c r="U95" s="1459"/>
      <c r="V95" s="1459"/>
      <c r="W95" s="1459"/>
      <c r="X95" s="322"/>
      <c r="Y95" s="323"/>
      <c r="Z95" s="1485" t="s">
        <v>1093</v>
      </c>
      <c r="AA95" s="1485"/>
      <c r="AB95" s="323"/>
      <c r="AC95" s="323"/>
      <c r="AD95" s="1485" t="s">
        <v>1094</v>
      </c>
      <c r="AE95" s="1485"/>
      <c r="AF95" s="324"/>
      <c r="AG95" s="1459" t="s">
        <v>1177</v>
      </c>
      <c r="AH95" s="1459"/>
      <c r="AI95" s="1459"/>
      <c r="AJ95" s="1459"/>
      <c r="AK95" s="1459"/>
      <c r="AL95" s="1459"/>
      <c r="AM95" s="318"/>
      <c r="AN95" s="319"/>
      <c r="AO95" s="1487" t="s">
        <v>1093</v>
      </c>
      <c r="AP95" s="1487"/>
      <c r="AQ95" s="319"/>
      <c r="AR95" s="319"/>
      <c r="AS95" s="1487" t="s">
        <v>1094</v>
      </c>
      <c r="AT95" s="1489"/>
      <c r="AU95" s="122"/>
      <c r="AV95" s="197" t="s">
        <v>1085</v>
      </c>
      <c r="AW95" s="197" t="s">
        <v>1086</v>
      </c>
      <c r="AX95" s="197" t="s">
        <v>1178</v>
      </c>
      <c r="AZ95" s="341"/>
      <c r="BS95" s="116"/>
      <c r="BT95" s="116"/>
    </row>
    <row r="96" spans="1:72" ht="18.649999999999999" customHeight="1">
      <c r="A96" s="113"/>
      <c r="B96" s="181"/>
      <c r="C96" s="1483"/>
      <c r="D96" s="1484"/>
      <c r="E96" s="1484"/>
      <c r="F96" s="1484"/>
      <c r="G96" s="1484"/>
      <c r="H96" s="1484"/>
      <c r="I96" s="325"/>
      <c r="J96" s="326"/>
      <c r="K96" s="1486"/>
      <c r="L96" s="1486"/>
      <c r="M96" s="326"/>
      <c r="N96" s="326"/>
      <c r="O96" s="1486"/>
      <c r="P96" s="1486"/>
      <c r="Q96" s="327"/>
      <c r="R96" s="1459"/>
      <c r="S96" s="1459"/>
      <c r="T96" s="1459"/>
      <c r="U96" s="1459"/>
      <c r="V96" s="1459"/>
      <c r="W96" s="1459"/>
      <c r="X96" s="325"/>
      <c r="Y96" s="326"/>
      <c r="Z96" s="1486"/>
      <c r="AA96" s="1486"/>
      <c r="AB96" s="326"/>
      <c r="AC96" s="326"/>
      <c r="AD96" s="1486"/>
      <c r="AE96" s="1486"/>
      <c r="AF96" s="327"/>
      <c r="AG96" s="1459"/>
      <c r="AH96" s="1459"/>
      <c r="AI96" s="1459"/>
      <c r="AJ96" s="1459"/>
      <c r="AK96" s="1459"/>
      <c r="AL96" s="1459"/>
      <c r="AM96" s="320"/>
      <c r="AN96" s="321"/>
      <c r="AO96" s="1488"/>
      <c r="AP96" s="1488"/>
      <c r="AQ96" s="321"/>
      <c r="AR96" s="321"/>
      <c r="AS96" s="1488"/>
      <c r="AT96" s="1490"/>
      <c r="AU96" s="122"/>
      <c r="AV96" s="114">
        <v>1</v>
      </c>
      <c r="AW96" s="114">
        <v>1</v>
      </c>
      <c r="AX96" s="114">
        <v>1</v>
      </c>
      <c r="AZ96" s="341"/>
      <c r="BS96" s="116"/>
      <c r="BT96" s="116"/>
    </row>
    <row r="97" spans="1:72" ht="18.649999999999999" customHeight="1">
      <c r="A97" s="113"/>
      <c r="B97" s="181"/>
      <c r="C97" s="1164" t="s">
        <v>1097</v>
      </c>
      <c r="D97" s="1165"/>
      <c r="E97" s="1165"/>
      <c r="F97" s="1165"/>
      <c r="G97" s="1165"/>
      <c r="H97" s="1165"/>
      <c r="I97" s="1165"/>
      <c r="J97" s="1165"/>
      <c r="K97" s="1166"/>
      <c r="L97" s="1492" t="s">
        <v>1109</v>
      </c>
      <c r="M97" s="1492"/>
      <c r="N97" s="1492"/>
      <c r="O97" s="1492"/>
      <c r="P97" s="1492"/>
      <c r="Q97" s="1492"/>
      <c r="R97" s="1492"/>
      <c r="S97" s="1492"/>
      <c r="T97" s="1492"/>
      <c r="U97" s="1492"/>
      <c r="V97" s="1493" t="s">
        <v>1098</v>
      </c>
      <c r="W97" s="1375"/>
      <c r="X97" s="1375"/>
      <c r="Y97" s="1375"/>
      <c r="Z97" s="1375"/>
      <c r="AA97" s="1375"/>
      <c r="AB97" s="1375"/>
      <c r="AC97" s="1376"/>
      <c r="AD97" s="1148" t="s">
        <v>1091</v>
      </c>
      <c r="AE97" s="1148"/>
      <c r="AF97" s="1146"/>
      <c r="AG97" s="1146"/>
      <c r="AH97" s="1148" t="s">
        <v>1090</v>
      </c>
      <c r="AI97" s="1148"/>
      <c r="AJ97" s="1146"/>
      <c r="AK97" s="1146"/>
      <c r="AL97" s="1148" t="s">
        <v>1089</v>
      </c>
      <c r="AM97" s="1148"/>
      <c r="AN97" s="1509" t="s">
        <v>5663</v>
      </c>
      <c r="AO97" s="1510"/>
      <c r="AP97" s="1510"/>
      <c r="AQ97" s="1511"/>
      <c r="AR97" s="345"/>
      <c r="AS97" s="331"/>
      <c r="AT97" s="332"/>
      <c r="AU97" s="122"/>
      <c r="AV97" s="114">
        <f>IF(L97="",0,VALUE(LEFT(L97,2)))</f>
        <v>2</v>
      </c>
      <c r="AZ97" s="341"/>
      <c r="BS97" s="116"/>
      <c r="BT97" s="116"/>
    </row>
    <row r="98" spans="1:72" ht="18.649999999999999" customHeight="1">
      <c r="A98" s="113"/>
      <c r="B98" s="181"/>
      <c r="C98" s="1167"/>
      <c r="D98" s="1144"/>
      <c r="E98" s="1144"/>
      <c r="F98" s="1144"/>
      <c r="G98" s="1144"/>
      <c r="H98" s="1144"/>
      <c r="I98" s="1144"/>
      <c r="J98" s="1144"/>
      <c r="K98" s="1145"/>
      <c r="L98" s="1361"/>
      <c r="M98" s="1361"/>
      <c r="N98" s="1361"/>
      <c r="O98" s="1361"/>
      <c r="P98" s="1361"/>
      <c r="Q98" s="1361"/>
      <c r="R98" s="1361"/>
      <c r="S98" s="1361"/>
      <c r="T98" s="1361"/>
      <c r="U98" s="1361"/>
      <c r="V98" s="1355"/>
      <c r="W98" s="1356"/>
      <c r="X98" s="1356"/>
      <c r="Y98" s="1356"/>
      <c r="Z98" s="1356"/>
      <c r="AA98" s="1356"/>
      <c r="AB98" s="1356"/>
      <c r="AC98" s="1357"/>
      <c r="AD98" s="1149"/>
      <c r="AE98" s="1149"/>
      <c r="AF98" s="1147"/>
      <c r="AG98" s="1147"/>
      <c r="AH98" s="1149"/>
      <c r="AI98" s="1149"/>
      <c r="AJ98" s="1147"/>
      <c r="AK98" s="1147"/>
      <c r="AL98" s="1149"/>
      <c r="AM98" s="1149"/>
      <c r="AN98" s="1512"/>
      <c r="AO98" s="1513"/>
      <c r="AP98" s="1513"/>
      <c r="AQ98" s="1514"/>
      <c r="AR98" s="342"/>
      <c r="AS98" s="333"/>
      <c r="AT98" s="334"/>
      <c r="AU98" s="122"/>
      <c r="AV98" s="114" t="str">
        <f>IF(AV97=3,IF(OR(AF97="",AJ97=""),"NG","OK"),IF(AV97=0,"NG","OK"))</f>
        <v>OK</v>
      </c>
      <c r="AZ98" s="341"/>
      <c r="BS98" s="116"/>
      <c r="BT98" s="116"/>
    </row>
    <row r="99" spans="1:72" ht="18.649999999999999" customHeight="1">
      <c r="A99" s="113"/>
      <c r="B99" s="181"/>
      <c r="C99" s="1150" t="s">
        <v>1179</v>
      </c>
      <c r="D99" s="1151"/>
      <c r="E99" s="1151"/>
      <c r="F99" s="1151"/>
      <c r="G99" s="1151"/>
      <c r="H99" s="1151"/>
      <c r="I99" s="1151"/>
      <c r="J99" s="1151"/>
      <c r="K99" s="1152"/>
      <c r="L99" s="1156" t="s">
        <v>2233</v>
      </c>
      <c r="M99" s="1156"/>
      <c r="N99" s="1156"/>
      <c r="O99" s="1156"/>
      <c r="P99" s="1156"/>
      <c r="Q99" s="1156"/>
      <c r="R99" s="1156"/>
      <c r="S99" s="1156"/>
      <c r="T99" s="1156"/>
      <c r="U99" s="1156"/>
      <c r="V99" s="1158" t="s">
        <v>1180</v>
      </c>
      <c r="W99" s="1159"/>
      <c r="X99" s="1159"/>
      <c r="Y99" s="1159"/>
      <c r="Z99" s="1159"/>
      <c r="AA99" s="1159"/>
      <c r="AB99" s="1159"/>
      <c r="AC99" s="1160"/>
      <c r="AD99" s="1148" t="s">
        <v>1091</v>
      </c>
      <c r="AE99" s="1148"/>
      <c r="AF99" s="1146"/>
      <c r="AG99" s="1146"/>
      <c r="AH99" s="1148" t="s">
        <v>1090</v>
      </c>
      <c r="AI99" s="1148"/>
      <c r="AJ99" s="1146"/>
      <c r="AK99" s="1146"/>
      <c r="AL99" s="1148" t="s">
        <v>1089</v>
      </c>
      <c r="AM99" s="1148"/>
      <c r="AN99" s="348"/>
      <c r="AO99" s="346"/>
      <c r="AP99" s="346"/>
      <c r="AQ99" s="346"/>
      <c r="AR99" s="343"/>
      <c r="AS99" s="335"/>
      <c r="AT99" s="336"/>
      <c r="AU99" s="122"/>
      <c r="AV99" s="114">
        <f>IF(L99="",0,VALUE(LEFT(L99,2)))</f>
        <v>3</v>
      </c>
      <c r="AZ99" s="341"/>
      <c r="BS99" s="116"/>
      <c r="BT99" s="116"/>
    </row>
    <row r="100" spans="1:72" ht="18.649999999999999" customHeight="1" thickBot="1">
      <c r="A100" s="113"/>
      <c r="B100" s="181"/>
      <c r="C100" s="1153"/>
      <c r="D100" s="1154"/>
      <c r="E100" s="1154"/>
      <c r="F100" s="1154"/>
      <c r="G100" s="1154"/>
      <c r="H100" s="1154"/>
      <c r="I100" s="1154"/>
      <c r="J100" s="1154"/>
      <c r="K100" s="1155"/>
      <c r="L100" s="1157"/>
      <c r="M100" s="1157"/>
      <c r="N100" s="1157"/>
      <c r="O100" s="1157"/>
      <c r="P100" s="1157"/>
      <c r="Q100" s="1157"/>
      <c r="R100" s="1157"/>
      <c r="S100" s="1157"/>
      <c r="T100" s="1157"/>
      <c r="U100" s="1157"/>
      <c r="V100" s="1161"/>
      <c r="W100" s="1162"/>
      <c r="X100" s="1162"/>
      <c r="Y100" s="1162"/>
      <c r="Z100" s="1162"/>
      <c r="AA100" s="1162"/>
      <c r="AB100" s="1162"/>
      <c r="AC100" s="1163"/>
      <c r="AD100" s="1149"/>
      <c r="AE100" s="1149"/>
      <c r="AF100" s="1147"/>
      <c r="AG100" s="1147"/>
      <c r="AH100" s="1149"/>
      <c r="AI100" s="1149"/>
      <c r="AJ100" s="1147"/>
      <c r="AK100" s="1147"/>
      <c r="AL100" s="1149"/>
      <c r="AM100" s="1149"/>
      <c r="AN100" s="349"/>
      <c r="AO100" s="347"/>
      <c r="AP100" s="347"/>
      <c r="AQ100" s="347"/>
      <c r="AR100" s="344"/>
      <c r="AS100" s="337"/>
      <c r="AT100" s="338"/>
      <c r="AU100" s="122"/>
      <c r="AV100" s="114" t="str">
        <f>IF(AV99=2,IF(OR(AF99="",AJ99=""),"NG","OK"),IF(AV99=0,"NG","OK"))</f>
        <v>OK</v>
      </c>
      <c r="AZ100" s="341"/>
      <c r="BS100" s="116"/>
      <c r="BT100" s="116"/>
    </row>
    <row r="101" spans="1:72" ht="18.649999999999999" customHeight="1">
      <c r="A101" s="113"/>
      <c r="B101" s="181"/>
      <c r="C101" s="124"/>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22"/>
    </row>
    <row r="102" spans="1:72" ht="18.649999999999999" customHeight="1">
      <c r="A102" s="113"/>
      <c r="B102" s="181"/>
      <c r="C102" s="111"/>
      <c r="D102" s="111"/>
      <c r="E102" s="111"/>
      <c r="F102" s="111"/>
      <c r="G102" s="111"/>
      <c r="H102" s="111"/>
      <c r="I102" s="111"/>
      <c r="J102" s="111"/>
      <c r="K102" s="111"/>
      <c r="L102" s="111"/>
      <c r="M102" s="1494" t="s">
        <v>948</v>
      </c>
      <c r="N102" s="1136"/>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22"/>
    </row>
    <row r="103" spans="1:72" ht="18.649999999999999" customHeight="1" thickBot="1">
      <c r="A103" s="113"/>
      <c r="B103" s="181"/>
      <c r="C103" s="111"/>
      <c r="D103" s="111"/>
      <c r="E103" s="111"/>
      <c r="F103" s="111"/>
      <c r="G103" s="111"/>
      <c r="H103" s="111"/>
      <c r="I103" s="111"/>
      <c r="J103" s="111"/>
      <c r="K103" s="111"/>
      <c r="L103" s="111"/>
      <c r="M103" s="1137"/>
      <c r="N103" s="1137"/>
      <c r="O103" s="1137"/>
      <c r="P103" s="1137"/>
      <c r="Q103" s="1137"/>
      <c r="R103" s="1137"/>
      <c r="S103" s="1137"/>
      <c r="T103" s="1137"/>
      <c r="U103" s="1137"/>
      <c r="V103" s="1137"/>
      <c r="W103" s="1137"/>
      <c r="X103" s="1137"/>
      <c r="Y103" s="1137"/>
      <c r="Z103" s="1137"/>
      <c r="AA103" s="1137"/>
      <c r="AB103" s="1137"/>
      <c r="AC103" s="1137"/>
      <c r="AD103" s="1137"/>
      <c r="AE103" s="1137"/>
      <c r="AF103" s="1137"/>
      <c r="AG103" s="1137"/>
      <c r="AH103" s="1137"/>
      <c r="AI103" s="1137"/>
      <c r="AJ103" s="1137"/>
      <c r="AK103" s="1137"/>
      <c r="AL103" s="1137"/>
      <c r="AM103" s="1137"/>
      <c r="AN103" s="1137"/>
      <c r="AO103" s="1137"/>
      <c r="AP103" s="1137"/>
      <c r="AQ103" s="1137"/>
      <c r="AR103" s="1137"/>
      <c r="AS103" s="1137"/>
      <c r="AT103" s="1137"/>
      <c r="AU103" s="122"/>
    </row>
    <row r="104" spans="1:72" ht="18.649999999999999" customHeight="1">
      <c r="A104" s="111"/>
      <c r="B104" s="181">
        <f>IF(OR(I104="",AV104=0,AG104="",AV105=0,I106="",K106="",M106="",O106="",V106="",X106="",Z106="",AV108=0,V108="",X108="",Z108="",AB108="",AD108="",AF108="",AH108="",I110="",I112=""),1,0)</f>
        <v>0</v>
      </c>
      <c r="C104" s="1210" t="s">
        <v>563</v>
      </c>
      <c r="D104" s="1211"/>
      <c r="E104" s="1211"/>
      <c r="F104" s="1211"/>
      <c r="G104" s="1211"/>
      <c r="H104" s="1212"/>
      <c r="I104" s="1495" t="s">
        <v>1965</v>
      </c>
      <c r="J104" s="1496"/>
      <c r="K104" s="1496"/>
      <c r="L104" s="1496"/>
      <c r="M104" s="1496"/>
      <c r="N104" s="1496"/>
      <c r="O104" s="1496"/>
      <c r="P104" s="1496"/>
      <c r="Q104" s="1496"/>
      <c r="R104" s="1497"/>
      <c r="S104" s="277"/>
      <c r="T104" s="1501" t="s">
        <v>564</v>
      </c>
      <c r="U104" s="1501"/>
      <c r="V104" s="136"/>
      <c r="W104" s="1501" t="s">
        <v>565</v>
      </c>
      <c r="X104" s="1501"/>
      <c r="Y104" s="136"/>
      <c r="Z104" s="1501" t="s">
        <v>566</v>
      </c>
      <c r="AA104" s="1502"/>
      <c r="AB104" s="1211" t="s">
        <v>567</v>
      </c>
      <c r="AC104" s="1211"/>
      <c r="AD104" s="1211"/>
      <c r="AE104" s="1211"/>
      <c r="AF104" s="1212"/>
      <c r="AG104" s="1503" t="s">
        <v>1966</v>
      </c>
      <c r="AH104" s="1503"/>
      <c r="AI104" s="1503"/>
      <c r="AJ104" s="1503"/>
      <c r="AK104" s="1503"/>
      <c r="AL104" s="1503"/>
      <c r="AM104" s="1503"/>
      <c r="AN104" s="1503"/>
      <c r="AO104" s="277"/>
      <c r="AP104" s="1501" t="s">
        <v>568</v>
      </c>
      <c r="AQ104" s="1501"/>
      <c r="AR104" s="136"/>
      <c r="AS104" s="1501" t="s">
        <v>569</v>
      </c>
      <c r="AT104" s="1505"/>
      <c r="AU104" s="122"/>
      <c r="AV104" s="114">
        <v>1</v>
      </c>
      <c r="BS104" s="115" t="s">
        <v>1064</v>
      </c>
    </row>
    <row r="105" spans="1:72" ht="18.649999999999999" customHeight="1">
      <c r="A105" s="111"/>
      <c r="B105" s="181"/>
      <c r="C105" s="1167"/>
      <c r="D105" s="1144"/>
      <c r="E105" s="1144"/>
      <c r="F105" s="1144"/>
      <c r="G105" s="1144"/>
      <c r="H105" s="1145"/>
      <c r="I105" s="1498"/>
      <c r="J105" s="1499"/>
      <c r="K105" s="1499"/>
      <c r="L105" s="1499"/>
      <c r="M105" s="1499"/>
      <c r="N105" s="1499"/>
      <c r="O105" s="1499"/>
      <c r="P105" s="1499"/>
      <c r="Q105" s="1499"/>
      <c r="R105" s="1500"/>
      <c r="S105" s="278"/>
      <c r="T105" s="1506" t="s">
        <v>570</v>
      </c>
      <c r="U105" s="1506"/>
      <c r="V105" s="279"/>
      <c r="W105" s="1506" t="s">
        <v>571</v>
      </c>
      <c r="X105" s="1506"/>
      <c r="Y105" s="279"/>
      <c r="Z105" s="1506" t="s">
        <v>572</v>
      </c>
      <c r="AA105" s="1507"/>
      <c r="AB105" s="1144"/>
      <c r="AC105" s="1144"/>
      <c r="AD105" s="1144"/>
      <c r="AE105" s="1144"/>
      <c r="AF105" s="1145"/>
      <c r="AG105" s="1504"/>
      <c r="AH105" s="1504"/>
      <c r="AI105" s="1504"/>
      <c r="AJ105" s="1504"/>
      <c r="AK105" s="1504"/>
      <c r="AL105" s="1504"/>
      <c r="AM105" s="1504"/>
      <c r="AN105" s="1504"/>
      <c r="AO105" s="278"/>
      <c r="AP105" s="1506" t="s">
        <v>573</v>
      </c>
      <c r="AQ105" s="1506"/>
      <c r="AR105" s="279"/>
      <c r="AS105" s="1506" t="s">
        <v>574</v>
      </c>
      <c r="AT105" s="1508"/>
      <c r="AU105" s="122"/>
      <c r="AV105" s="114">
        <v>2</v>
      </c>
    </row>
    <row r="106" spans="1:72" ht="18.649999999999999" customHeight="1">
      <c r="A106" s="111"/>
      <c r="B106" s="181"/>
      <c r="C106" s="1333" t="s">
        <v>768</v>
      </c>
      <c r="D106" s="1328"/>
      <c r="E106" s="1328"/>
      <c r="F106" s="1328"/>
      <c r="G106" s="1328"/>
      <c r="H106" s="1329"/>
      <c r="I106" s="1541">
        <v>1</v>
      </c>
      <c r="J106" s="1542"/>
      <c r="K106" s="1542">
        <v>2</v>
      </c>
      <c r="L106" s="1542"/>
      <c r="M106" s="1542">
        <v>3</v>
      </c>
      <c r="N106" s="1542"/>
      <c r="O106" s="1542">
        <v>4</v>
      </c>
      <c r="P106" s="1544"/>
      <c r="Q106" s="1280" t="s">
        <v>769</v>
      </c>
      <c r="R106" s="1201"/>
      <c r="S106" s="1201"/>
      <c r="T106" s="1201"/>
      <c r="U106" s="1202"/>
      <c r="V106" s="1545">
        <v>1</v>
      </c>
      <c r="W106" s="1546"/>
      <c r="X106" s="1547">
        <v>2</v>
      </c>
      <c r="Y106" s="1546"/>
      <c r="Z106" s="1548">
        <v>3</v>
      </c>
      <c r="AA106" s="1549"/>
      <c r="AB106" s="1515" t="s">
        <v>575</v>
      </c>
      <c r="AC106" s="1516"/>
      <c r="AD106" s="1516"/>
      <c r="AE106" s="1516"/>
      <c r="AF106" s="1516"/>
      <c r="AG106" s="1516"/>
      <c r="AH106" s="1516"/>
      <c r="AI106" s="1516"/>
      <c r="AJ106" s="1516"/>
      <c r="AK106" s="1516"/>
      <c r="AL106" s="1516"/>
      <c r="AM106" s="1516"/>
      <c r="AN106" s="1516"/>
      <c r="AO106" s="1516"/>
      <c r="AP106" s="1516"/>
      <c r="AQ106" s="1516"/>
      <c r="AR106" s="1516"/>
      <c r="AS106" s="1516"/>
      <c r="AT106" s="1517"/>
      <c r="AU106" s="122"/>
    </row>
    <row r="107" spans="1:72" ht="18.649999999999999" customHeight="1">
      <c r="A107" s="111"/>
      <c r="B107" s="181"/>
      <c r="C107" s="1242"/>
      <c r="D107" s="1243"/>
      <c r="E107" s="1243"/>
      <c r="F107" s="1243"/>
      <c r="G107" s="1243"/>
      <c r="H107" s="1244"/>
      <c r="I107" s="1543"/>
      <c r="J107" s="1533"/>
      <c r="K107" s="1533"/>
      <c r="L107" s="1533"/>
      <c r="M107" s="1533"/>
      <c r="N107" s="1533"/>
      <c r="O107" s="1533"/>
      <c r="P107" s="1534"/>
      <c r="Q107" s="1281"/>
      <c r="R107" s="1243"/>
      <c r="S107" s="1243"/>
      <c r="T107" s="1243"/>
      <c r="U107" s="1244"/>
      <c r="V107" s="1498"/>
      <c r="W107" s="1530"/>
      <c r="X107" s="1529"/>
      <c r="Y107" s="1530"/>
      <c r="Z107" s="1533"/>
      <c r="AA107" s="1534"/>
      <c r="AB107" s="1518"/>
      <c r="AC107" s="1519"/>
      <c r="AD107" s="1519"/>
      <c r="AE107" s="1519"/>
      <c r="AF107" s="1519"/>
      <c r="AG107" s="1519"/>
      <c r="AH107" s="1519"/>
      <c r="AI107" s="1519"/>
      <c r="AJ107" s="1519"/>
      <c r="AK107" s="1519"/>
      <c r="AL107" s="1519"/>
      <c r="AM107" s="1519"/>
      <c r="AN107" s="1519"/>
      <c r="AO107" s="1519"/>
      <c r="AP107" s="1519"/>
      <c r="AQ107" s="1519"/>
      <c r="AR107" s="1519"/>
      <c r="AS107" s="1519"/>
      <c r="AT107" s="1520"/>
      <c r="AU107" s="122"/>
    </row>
    <row r="108" spans="1:72" ht="18.649999999999999" customHeight="1">
      <c r="A108" s="111"/>
      <c r="B108" s="181"/>
      <c r="C108" s="1333" t="s">
        <v>576</v>
      </c>
      <c r="D108" s="1328"/>
      <c r="E108" s="1328"/>
      <c r="F108" s="1328"/>
      <c r="G108" s="1328"/>
      <c r="H108" s="1328"/>
      <c r="I108" s="1521"/>
      <c r="J108" s="1523" t="s">
        <v>577</v>
      </c>
      <c r="K108" s="1523"/>
      <c r="L108" s="329"/>
      <c r="M108" s="1523"/>
      <c r="N108" s="1523" t="s">
        <v>578</v>
      </c>
      <c r="O108" s="1523"/>
      <c r="P108" s="1525"/>
      <c r="Q108" s="1328" t="s">
        <v>770</v>
      </c>
      <c r="R108" s="1328"/>
      <c r="S108" s="1328"/>
      <c r="T108" s="1328"/>
      <c r="U108" s="1329"/>
      <c r="V108" s="1556">
        <v>0</v>
      </c>
      <c r="W108" s="1528"/>
      <c r="X108" s="1527">
        <v>1</v>
      </c>
      <c r="Y108" s="1528"/>
      <c r="Z108" s="1527">
        <v>2</v>
      </c>
      <c r="AA108" s="1528"/>
      <c r="AB108" s="1527">
        <v>3</v>
      </c>
      <c r="AC108" s="1528"/>
      <c r="AD108" s="1527">
        <v>4</v>
      </c>
      <c r="AE108" s="1528"/>
      <c r="AF108" s="1527">
        <v>5</v>
      </c>
      <c r="AG108" s="1528"/>
      <c r="AH108" s="1531">
        <v>6</v>
      </c>
      <c r="AI108" s="1532"/>
      <c r="AJ108" s="1535" t="s">
        <v>1233</v>
      </c>
      <c r="AK108" s="1536"/>
      <c r="AL108" s="1536"/>
      <c r="AM108" s="1536"/>
      <c r="AN108" s="1536"/>
      <c r="AO108" s="1536"/>
      <c r="AP108" s="1536"/>
      <c r="AQ108" s="1536"/>
      <c r="AR108" s="1536"/>
      <c r="AS108" s="1536"/>
      <c r="AT108" s="1537"/>
      <c r="AU108" s="122"/>
      <c r="AV108" s="114">
        <v>1</v>
      </c>
    </row>
    <row r="109" spans="1:72" ht="18.649999999999999" customHeight="1">
      <c r="A109" s="111"/>
      <c r="B109" s="181"/>
      <c r="C109" s="1242"/>
      <c r="D109" s="1243"/>
      <c r="E109" s="1243"/>
      <c r="F109" s="1243"/>
      <c r="G109" s="1243"/>
      <c r="H109" s="1243"/>
      <c r="I109" s="1522"/>
      <c r="J109" s="1524"/>
      <c r="K109" s="1524"/>
      <c r="L109" s="328"/>
      <c r="M109" s="1524"/>
      <c r="N109" s="1524"/>
      <c r="O109" s="1524"/>
      <c r="P109" s="1526"/>
      <c r="Q109" s="1243"/>
      <c r="R109" s="1243"/>
      <c r="S109" s="1243"/>
      <c r="T109" s="1243"/>
      <c r="U109" s="1244"/>
      <c r="V109" s="1498"/>
      <c r="W109" s="1530"/>
      <c r="X109" s="1529"/>
      <c r="Y109" s="1530"/>
      <c r="Z109" s="1529"/>
      <c r="AA109" s="1530"/>
      <c r="AB109" s="1529"/>
      <c r="AC109" s="1530"/>
      <c r="AD109" s="1529"/>
      <c r="AE109" s="1530"/>
      <c r="AF109" s="1529"/>
      <c r="AG109" s="1530"/>
      <c r="AH109" s="1533"/>
      <c r="AI109" s="1534"/>
      <c r="AJ109" s="1538"/>
      <c r="AK109" s="1539"/>
      <c r="AL109" s="1539"/>
      <c r="AM109" s="1539"/>
      <c r="AN109" s="1539"/>
      <c r="AO109" s="1539"/>
      <c r="AP109" s="1539"/>
      <c r="AQ109" s="1539"/>
      <c r="AR109" s="1539"/>
      <c r="AS109" s="1539"/>
      <c r="AT109" s="1540"/>
      <c r="AU109" s="122"/>
    </row>
    <row r="110" spans="1:72" ht="18.649999999999999" customHeight="1">
      <c r="A110" s="111"/>
      <c r="B110" s="181"/>
      <c r="C110" s="1150" t="s">
        <v>579</v>
      </c>
      <c r="D110" s="1151"/>
      <c r="E110" s="1151"/>
      <c r="F110" s="1151"/>
      <c r="G110" s="1151"/>
      <c r="H110" s="1152"/>
      <c r="I110" s="1177" t="s">
        <v>2234</v>
      </c>
      <c r="J110" s="1178"/>
      <c r="K110" s="1178"/>
      <c r="L110" s="1178"/>
      <c r="M110" s="1178"/>
      <c r="N110" s="1178"/>
      <c r="O110" s="1178"/>
      <c r="P110" s="1178"/>
      <c r="Q110" s="1178"/>
      <c r="R110" s="1178"/>
      <c r="S110" s="1178"/>
      <c r="T110" s="1178"/>
      <c r="U110" s="1178"/>
      <c r="V110" s="1178"/>
      <c r="W110" s="1178"/>
      <c r="X110" s="1178"/>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c r="AR110" s="1178"/>
      <c r="AS110" s="1178"/>
      <c r="AT110" s="1179"/>
      <c r="AU110" s="122"/>
    </row>
    <row r="111" spans="1:72" ht="18.649999999999999" customHeight="1">
      <c r="A111" s="111"/>
      <c r="B111" s="181"/>
      <c r="C111" s="1167"/>
      <c r="D111" s="1144"/>
      <c r="E111" s="1144"/>
      <c r="F111" s="1144"/>
      <c r="G111" s="1144"/>
      <c r="H111" s="1145"/>
      <c r="I111" s="1180"/>
      <c r="J111" s="1181"/>
      <c r="K111" s="1181"/>
      <c r="L111" s="1181"/>
      <c r="M111" s="1181"/>
      <c r="N111" s="1181"/>
      <c r="O111" s="1181"/>
      <c r="P111" s="1181"/>
      <c r="Q111" s="1181"/>
      <c r="R111" s="1181"/>
      <c r="S111" s="1181"/>
      <c r="T111" s="1181"/>
      <c r="U111" s="1181"/>
      <c r="V111" s="1181"/>
      <c r="W111" s="1181"/>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181"/>
      <c r="AS111" s="1181"/>
      <c r="AT111" s="1182"/>
      <c r="AU111" s="122"/>
    </row>
    <row r="112" spans="1:72" ht="18.649999999999999" customHeight="1">
      <c r="A112" s="111"/>
      <c r="B112" s="181"/>
      <c r="C112" s="1333" t="s">
        <v>771</v>
      </c>
      <c r="D112" s="1328"/>
      <c r="E112" s="1328"/>
      <c r="F112" s="1328"/>
      <c r="G112" s="1328"/>
      <c r="H112" s="1329"/>
      <c r="I112" s="1550" t="s">
        <v>2235</v>
      </c>
      <c r="J112" s="1551"/>
      <c r="K112" s="1551"/>
      <c r="L112" s="1551"/>
      <c r="M112" s="1551"/>
      <c r="N112" s="1551"/>
      <c r="O112" s="1551"/>
      <c r="P112" s="1551"/>
      <c r="Q112" s="1551"/>
      <c r="R112" s="1551"/>
      <c r="S112" s="1551"/>
      <c r="T112" s="1551"/>
      <c r="U112" s="1551"/>
      <c r="V112" s="1551"/>
      <c r="W112" s="1551"/>
      <c r="X112" s="1551"/>
      <c r="Y112" s="1551"/>
      <c r="Z112" s="1551"/>
      <c r="AA112" s="1551"/>
      <c r="AB112" s="1551"/>
      <c r="AC112" s="1551"/>
      <c r="AD112" s="1551"/>
      <c r="AE112" s="1551"/>
      <c r="AF112" s="1551"/>
      <c r="AG112" s="1551"/>
      <c r="AH112" s="1551"/>
      <c r="AI112" s="1551"/>
      <c r="AJ112" s="1551"/>
      <c r="AK112" s="1551"/>
      <c r="AL112" s="1551"/>
      <c r="AM112" s="1551"/>
      <c r="AN112" s="1551"/>
      <c r="AO112" s="1551"/>
      <c r="AP112" s="1551"/>
      <c r="AQ112" s="1551"/>
      <c r="AR112" s="1551"/>
      <c r="AS112" s="1551"/>
      <c r="AT112" s="1552"/>
      <c r="AU112" s="122"/>
    </row>
    <row r="113" spans="1:52" ht="18.649999999999999" customHeight="1" thickBot="1">
      <c r="A113" s="111"/>
      <c r="B113" s="181"/>
      <c r="C113" s="1203"/>
      <c r="D113" s="1204"/>
      <c r="E113" s="1204"/>
      <c r="F113" s="1204"/>
      <c r="G113" s="1204"/>
      <c r="H113" s="1205"/>
      <c r="I113" s="1553"/>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554"/>
      <c r="AR113" s="1554"/>
      <c r="AS113" s="1554"/>
      <c r="AT113" s="1555"/>
      <c r="AU113" s="122"/>
    </row>
    <row r="114" spans="1:52" ht="18.649999999999999" customHeight="1">
      <c r="A114" s="113"/>
      <c r="B114" s="18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22"/>
    </row>
    <row r="115" spans="1:52" ht="18.649999999999999" customHeight="1">
      <c r="A115" s="113"/>
      <c r="B115" s="181"/>
      <c r="C115" s="111"/>
      <c r="D115" s="111"/>
      <c r="E115" s="111"/>
      <c r="F115" s="111"/>
      <c r="G115" s="111"/>
      <c r="H115" s="111"/>
      <c r="I115" s="111"/>
      <c r="J115" s="111"/>
      <c r="K115" s="111"/>
      <c r="L115" s="111"/>
      <c r="M115" s="1494" t="s">
        <v>947</v>
      </c>
      <c r="N115" s="1136"/>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22"/>
    </row>
    <row r="116" spans="1:52" ht="18.649999999999999" customHeight="1" thickBot="1">
      <c r="A116" s="113"/>
      <c r="B116" s="181"/>
      <c r="C116" s="111"/>
      <c r="D116" s="111"/>
      <c r="E116" s="111"/>
      <c r="F116" s="111"/>
      <c r="G116" s="111"/>
      <c r="H116" s="111"/>
      <c r="I116" s="111"/>
      <c r="J116" s="111"/>
      <c r="K116" s="111"/>
      <c r="L116" s="111"/>
      <c r="M116" s="1137"/>
      <c r="N116" s="1137"/>
      <c r="O116" s="1137"/>
      <c r="P116" s="1137"/>
      <c r="Q116" s="1137"/>
      <c r="R116" s="1137"/>
      <c r="S116" s="1137"/>
      <c r="T116" s="1137"/>
      <c r="U116" s="1137"/>
      <c r="V116" s="1137"/>
      <c r="W116" s="1137"/>
      <c r="X116" s="1137"/>
      <c r="Y116" s="1137"/>
      <c r="Z116" s="1137"/>
      <c r="AA116" s="1137"/>
      <c r="AB116" s="1137"/>
      <c r="AC116" s="1137"/>
      <c r="AD116" s="1137"/>
      <c r="AE116" s="1137"/>
      <c r="AF116" s="1137"/>
      <c r="AG116" s="1137"/>
      <c r="AH116" s="1137"/>
      <c r="AI116" s="1137"/>
      <c r="AJ116" s="1137"/>
      <c r="AK116" s="1137"/>
      <c r="AL116" s="1137"/>
      <c r="AM116" s="1137"/>
      <c r="AN116" s="1137"/>
      <c r="AO116" s="1137"/>
      <c r="AP116" s="1137"/>
      <c r="AQ116" s="1137"/>
      <c r="AR116" s="1137"/>
      <c r="AS116" s="1137"/>
      <c r="AT116" s="1137"/>
      <c r="AU116" s="122"/>
    </row>
    <row r="117" spans="1:52" ht="18.649999999999999" customHeight="1">
      <c r="A117" s="113"/>
      <c r="B117" s="181">
        <f>IF(OR(I117="",I118="",AE118="",AK118="",AP118="",AE120="",I124="",I125="",AE125="",AK125="",AP125="",AE127="",AV127="NG",AV120="NG",AV128=0),1,0)</f>
        <v>0</v>
      </c>
      <c r="C117" s="1258" t="s">
        <v>772</v>
      </c>
      <c r="D117" s="1259"/>
      <c r="E117" s="1259"/>
      <c r="F117" s="1259"/>
      <c r="G117" s="1259"/>
      <c r="H117" s="1260"/>
      <c r="I117" s="1563" t="s">
        <v>4427</v>
      </c>
      <c r="J117" s="1564"/>
      <c r="K117" s="1564"/>
      <c r="L117" s="1564"/>
      <c r="M117" s="1564"/>
      <c r="N117" s="1564"/>
      <c r="O117" s="1564"/>
      <c r="P117" s="1565"/>
      <c r="Q117" s="1564" t="s">
        <v>4428</v>
      </c>
      <c r="R117" s="1564"/>
      <c r="S117" s="1564"/>
      <c r="T117" s="1564"/>
      <c r="U117" s="1564"/>
      <c r="V117" s="1564"/>
      <c r="W117" s="1564"/>
      <c r="X117" s="1564"/>
      <c r="Y117" s="1566"/>
      <c r="Z117" s="1560" t="s">
        <v>555</v>
      </c>
      <c r="AA117" s="1560"/>
      <c r="AB117" s="1560"/>
      <c r="AC117" s="1560"/>
      <c r="AD117" s="1560"/>
      <c r="AE117" s="1561"/>
      <c r="AF117" s="1561"/>
      <c r="AG117" s="1561"/>
      <c r="AH117" s="1561"/>
      <c r="AI117" s="1561"/>
      <c r="AJ117" s="1561"/>
      <c r="AK117" s="1561"/>
      <c r="AL117" s="1561"/>
      <c r="AM117" s="1561"/>
      <c r="AN117" s="1561"/>
      <c r="AO117" s="1561"/>
      <c r="AP117" s="1561"/>
      <c r="AQ117" s="1561"/>
      <c r="AR117" s="1561"/>
      <c r="AS117" s="1561"/>
      <c r="AT117" s="1562"/>
      <c r="AU117" s="122"/>
    </row>
    <row r="118" spans="1:52" ht="18.649999999999999" customHeight="1">
      <c r="A118" s="113"/>
      <c r="B118" s="181"/>
      <c r="C118" s="1387" t="s">
        <v>557</v>
      </c>
      <c r="D118" s="1388"/>
      <c r="E118" s="1388"/>
      <c r="F118" s="1388"/>
      <c r="G118" s="1388"/>
      <c r="H118" s="1389"/>
      <c r="I118" s="1567" t="s">
        <v>4429</v>
      </c>
      <c r="J118" s="1568"/>
      <c r="K118" s="1568"/>
      <c r="L118" s="1568"/>
      <c r="M118" s="1568"/>
      <c r="N118" s="1568"/>
      <c r="O118" s="1568"/>
      <c r="P118" s="1569"/>
      <c r="Q118" s="1568" t="s">
        <v>4430</v>
      </c>
      <c r="R118" s="1568"/>
      <c r="S118" s="1568"/>
      <c r="T118" s="1568"/>
      <c r="U118" s="1568"/>
      <c r="V118" s="1568"/>
      <c r="W118" s="1568"/>
      <c r="X118" s="1568"/>
      <c r="Y118" s="1571"/>
      <c r="Z118" s="1459" t="s">
        <v>838</v>
      </c>
      <c r="AA118" s="1459"/>
      <c r="AB118" s="1459"/>
      <c r="AC118" s="1459"/>
      <c r="AD118" s="1459"/>
      <c r="AE118" s="1298" t="s">
        <v>2236</v>
      </c>
      <c r="AF118" s="1299"/>
      <c r="AG118" s="1299"/>
      <c r="AH118" s="1299"/>
      <c r="AI118" s="1299"/>
      <c r="AJ118" s="350" t="s">
        <v>1231</v>
      </c>
      <c r="AK118" s="1299" t="s">
        <v>2237</v>
      </c>
      <c r="AL118" s="1299"/>
      <c r="AM118" s="1299"/>
      <c r="AN118" s="1299"/>
      <c r="AO118" s="350" t="s">
        <v>1182</v>
      </c>
      <c r="AP118" s="1299" t="s">
        <v>2238</v>
      </c>
      <c r="AQ118" s="1299"/>
      <c r="AR118" s="1299"/>
      <c r="AS118" s="1299"/>
      <c r="AT118" s="1304"/>
      <c r="AU118" s="122"/>
      <c r="AV118" s="114" t="str">
        <f>IF(AND(AE118&lt;&gt;"",AK118&lt;&gt;"",AP118&lt;&gt;""),IF(LENB(AE118)+LENB(AK118)+LENB(AP118)&lt;13,"OK","NG"),"OK")</f>
        <v>OK</v>
      </c>
    </row>
    <row r="119" spans="1:52" ht="18.649999999999999" customHeight="1">
      <c r="A119" s="113"/>
      <c r="B119" s="181"/>
      <c r="C119" s="1200"/>
      <c r="D119" s="1201"/>
      <c r="E119" s="1201"/>
      <c r="F119" s="1201"/>
      <c r="G119" s="1201"/>
      <c r="H119" s="1202"/>
      <c r="I119" s="1545"/>
      <c r="J119" s="1570"/>
      <c r="K119" s="1570"/>
      <c r="L119" s="1570"/>
      <c r="M119" s="1570"/>
      <c r="N119" s="1570"/>
      <c r="O119" s="1570"/>
      <c r="P119" s="1546"/>
      <c r="Q119" s="1570"/>
      <c r="R119" s="1570"/>
      <c r="S119" s="1570"/>
      <c r="T119" s="1570"/>
      <c r="U119" s="1570"/>
      <c r="V119" s="1570"/>
      <c r="W119" s="1570"/>
      <c r="X119" s="1570"/>
      <c r="Y119" s="1572"/>
      <c r="Z119" s="1459" t="s">
        <v>399</v>
      </c>
      <c r="AA119" s="1459"/>
      <c r="AB119" s="1459"/>
      <c r="AC119" s="1459"/>
      <c r="AD119" s="1459"/>
      <c r="AE119" s="1298"/>
      <c r="AF119" s="1299"/>
      <c r="AG119" s="1299"/>
      <c r="AH119" s="1299"/>
      <c r="AI119" s="1299"/>
      <c r="AJ119" s="350" t="s">
        <v>1231</v>
      </c>
      <c r="AK119" s="1299"/>
      <c r="AL119" s="1299"/>
      <c r="AM119" s="1299"/>
      <c r="AN119" s="1299"/>
      <c r="AO119" s="350" t="s">
        <v>1182</v>
      </c>
      <c r="AP119" s="1299"/>
      <c r="AQ119" s="1299"/>
      <c r="AR119" s="1299"/>
      <c r="AS119" s="1299"/>
      <c r="AT119" s="1304"/>
      <c r="AU119" s="122"/>
      <c r="AV119" s="114" t="str">
        <f>IF(AND(AE119&lt;&gt;"",AK119&lt;&gt;"",AP119&lt;&gt;""),IF(LENB(AE119)+LENB(AK119)+LENB(AP119)&lt;13,"OK","NG"),"OK")</f>
        <v>OK</v>
      </c>
    </row>
    <row r="120" spans="1:52" ht="18.649999999999999" customHeight="1">
      <c r="A120" s="113"/>
      <c r="B120" s="181"/>
      <c r="C120" s="1242"/>
      <c r="D120" s="1243"/>
      <c r="E120" s="1243"/>
      <c r="F120" s="1243"/>
      <c r="G120" s="1243"/>
      <c r="H120" s="1244"/>
      <c r="I120" s="1498"/>
      <c r="J120" s="1499"/>
      <c r="K120" s="1499"/>
      <c r="L120" s="1499"/>
      <c r="M120" s="1499"/>
      <c r="N120" s="1499"/>
      <c r="O120" s="1499"/>
      <c r="P120" s="1530"/>
      <c r="Q120" s="1499"/>
      <c r="R120" s="1499"/>
      <c r="S120" s="1499"/>
      <c r="T120" s="1499"/>
      <c r="U120" s="1499"/>
      <c r="V120" s="1499"/>
      <c r="W120" s="1499"/>
      <c r="X120" s="1499"/>
      <c r="Y120" s="1500"/>
      <c r="Z120" s="1459" t="s">
        <v>773</v>
      </c>
      <c r="AA120" s="1459"/>
      <c r="AB120" s="1459"/>
      <c r="AC120" s="1459"/>
      <c r="AD120" s="1459"/>
      <c r="AE120" s="1557" t="s">
        <v>2241</v>
      </c>
      <c r="AF120" s="1558"/>
      <c r="AG120" s="1558"/>
      <c r="AH120" s="1558"/>
      <c r="AI120" s="1558"/>
      <c r="AJ120" s="1558"/>
      <c r="AK120" s="1558"/>
      <c r="AL120" s="1558"/>
      <c r="AM120" s="1558"/>
      <c r="AN120" s="1558"/>
      <c r="AO120" s="1558"/>
      <c r="AP120" s="1558"/>
      <c r="AQ120" s="1558"/>
      <c r="AR120" s="1558"/>
      <c r="AS120" s="1558"/>
      <c r="AT120" s="1559"/>
      <c r="AU120" s="122"/>
      <c r="AV120" s="114" t="str">
        <f>IF(ISERROR(FIND("@",AE120,FIND("@",AE120,1)+1)),"OK","NG")</f>
        <v>OK</v>
      </c>
      <c r="AW120" s="500" t="str">
        <f>IF(AND(AX120="OK",AY120="OK",AZ120="OK"),"OK","NG")</f>
        <v>OK</v>
      </c>
      <c r="AX120" s="114" t="str">
        <f>IF(COUNTIF(AE120,"*@*"),"OK","NG")</f>
        <v>OK</v>
      </c>
      <c r="AY120" s="114" t="str">
        <f>IF(LEFT(AE120,1)="@","NG","OK")</f>
        <v>OK</v>
      </c>
      <c r="AZ120" s="500" t="str">
        <f>IF(ISERR(FIND(";",AE120)),"OK","NG")</f>
        <v>OK</v>
      </c>
    </row>
    <row r="121" spans="1:52" ht="18.649999999999999" hidden="1" customHeight="1">
      <c r="A121" s="113"/>
      <c r="B121" s="181"/>
      <c r="C121" s="1245" t="s">
        <v>772</v>
      </c>
      <c r="D121" s="1246"/>
      <c r="E121" s="1246"/>
      <c r="F121" s="1246"/>
      <c r="G121" s="1246"/>
      <c r="H121" s="1247"/>
      <c r="I121" s="1579"/>
      <c r="J121" s="1580"/>
      <c r="K121" s="1580"/>
      <c r="L121" s="1580"/>
      <c r="M121" s="1580"/>
      <c r="N121" s="1580"/>
      <c r="O121" s="1580"/>
      <c r="P121" s="1580"/>
      <c r="Q121" s="1580"/>
      <c r="R121" s="1580"/>
      <c r="S121" s="1580"/>
      <c r="T121" s="1580"/>
      <c r="U121" s="1580"/>
      <c r="V121" s="1580"/>
      <c r="W121" s="1580"/>
      <c r="X121" s="1580"/>
      <c r="Y121" s="1581"/>
      <c r="Z121" s="1459" t="s">
        <v>555</v>
      </c>
      <c r="AA121" s="1459"/>
      <c r="AB121" s="1459"/>
      <c r="AC121" s="1459"/>
      <c r="AD121" s="1459"/>
      <c r="AE121" s="1574"/>
      <c r="AF121" s="1574"/>
      <c r="AG121" s="1574"/>
      <c r="AH121" s="1574"/>
      <c r="AI121" s="1574"/>
      <c r="AJ121" s="1574"/>
      <c r="AK121" s="1574"/>
      <c r="AL121" s="1574"/>
      <c r="AM121" s="1574"/>
      <c r="AN121" s="1574"/>
      <c r="AO121" s="1574"/>
      <c r="AP121" s="1574"/>
      <c r="AQ121" s="1574"/>
      <c r="AR121" s="1574"/>
      <c r="AS121" s="1574"/>
      <c r="AT121" s="1575"/>
      <c r="AU121" s="122"/>
      <c r="AZ121" s="340" t="s">
        <v>1073</v>
      </c>
    </row>
    <row r="122" spans="1:52" ht="18.649999999999999" hidden="1" customHeight="1">
      <c r="A122" s="113"/>
      <c r="B122" s="181"/>
      <c r="C122" s="1387" t="s">
        <v>560</v>
      </c>
      <c r="D122" s="1388"/>
      <c r="E122" s="1388"/>
      <c r="F122" s="1388"/>
      <c r="G122" s="1388"/>
      <c r="H122" s="1389"/>
      <c r="I122" s="1582"/>
      <c r="J122" s="1583"/>
      <c r="K122" s="1583"/>
      <c r="L122" s="1583"/>
      <c r="M122" s="1583"/>
      <c r="N122" s="1583"/>
      <c r="O122" s="1583"/>
      <c r="P122" s="1583"/>
      <c r="Q122" s="1583"/>
      <c r="R122" s="1583"/>
      <c r="S122" s="1583"/>
      <c r="T122" s="1583"/>
      <c r="U122" s="1583"/>
      <c r="V122" s="1583"/>
      <c r="W122" s="1583"/>
      <c r="X122" s="1583"/>
      <c r="Y122" s="1584"/>
      <c r="Z122" s="1459" t="s">
        <v>398</v>
      </c>
      <c r="AA122" s="1459"/>
      <c r="AB122" s="1459"/>
      <c r="AC122" s="1459"/>
      <c r="AD122" s="1459"/>
      <c r="AE122" s="1298"/>
      <c r="AF122" s="1299"/>
      <c r="AG122" s="1299"/>
      <c r="AH122" s="1299"/>
      <c r="AI122" s="1299"/>
      <c r="AJ122" s="350" t="s">
        <v>1182</v>
      </c>
      <c r="AK122" s="1299"/>
      <c r="AL122" s="1299"/>
      <c r="AM122" s="1299"/>
      <c r="AN122" s="1299"/>
      <c r="AO122" s="350" t="s">
        <v>1182</v>
      </c>
      <c r="AP122" s="1299"/>
      <c r="AQ122" s="1299"/>
      <c r="AR122" s="1299"/>
      <c r="AS122" s="1299"/>
      <c r="AT122" s="1304"/>
      <c r="AU122" s="122"/>
      <c r="AV122" s="114" t="str">
        <f>IF(AND(AE122&lt;&gt;"",AK122&lt;&gt;"",AP122&lt;&gt;""),IF(LENB(AE122)+LENB(AK122)+LENB(AP122)&lt;13,"OK","NG"),"OK")</f>
        <v>OK</v>
      </c>
      <c r="AZ122" s="340" t="s">
        <v>1073</v>
      </c>
    </row>
    <row r="123" spans="1:52" ht="18.649999999999999" hidden="1" customHeight="1">
      <c r="A123" s="113"/>
      <c r="B123" s="181"/>
      <c r="C123" s="1242"/>
      <c r="D123" s="1243"/>
      <c r="E123" s="1243"/>
      <c r="F123" s="1243"/>
      <c r="G123" s="1243"/>
      <c r="H123" s="1244"/>
      <c r="I123" s="1585"/>
      <c r="J123" s="1586"/>
      <c r="K123" s="1586"/>
      <c r="L123" s="1586"/>
      <c r="M123" s="1586"/>
      <c r="N123" s="1586"/>
      <c r="O123" s="1586"/>
      <c r="P123" s="1586"/>
      <c r="Q123" s="1586"/>
      <c r="R123" s="1586"/>
      <c r="S123" s="1586"/>
      <c r="T123" s="1586"/>
      <c r="U123" s="1586"/>
      <c r="V123" s="1586"/>
      <c r="W123" s="1586"/>
      <c r="X123" s="1586"/>
      <c r="Y123" s="1587"/>
      <c r="Z123" s="1459" t="s">
        <v>773</v>
      </c>
      <c r="AA123" s="1459"/>
      <c r="AB123" s="1459"/>
      <c r="AC123" s="1459"/>
      <c r="AD123" s="1459"/>
      <c r="AE123" s="1573"/>
      <c r="AF123" s="1574"/>
      <c r="AG123" s="1574"/>
      <c r="AH123" s="1574"/>
      <c r="AI123" s="1574"/>
      <c r="AJ123" s="1574"/>
      <c r="AK123" s="1574"/>
      <c r="AL123" s="1574"/>
      <c r="AM123" s="1574"/>
      <c r="AN123" s="1574"/>
      <c r="AO123" s="1574"/>
      <c r="AP123" s="1574"/>
      <c r="AQ123" s="1574"/>
      <c r="AR123" s="1574"/>
      <c r="AS123" s="1574"/>
      <c r="AT123" s="1575"/>
      <c r="AU123" s="122"/>
      <c r="AZ123" s="340" t="s">
        <v>1073</v>
      </c>
    </row>
    <row r="124" spans="1:52" ht="18.649999999999999" customHeight="1">
      <c r="A124" s="113"/>
      <c r="B124" s="181"/>
      <c r="C124" s="1245" t="s">
        <v>772</v>
      </c>
      <c r="D124" s="1246"/>
      <c r="E124" s="1246"/>
      <c r="F124" s="1246"/>
      <c r="G124" s="1246"/>
      <c r="H124" s="1247"/>
      <c r="I124" s="1588" t="s">
        <v>4431</v>
      </c>
      <c r="J124" s="1589"/>
      <c r="K124" s="1589"/>
      <c r="L124" s="1589"/>
      <c r="M124" s="1589"/>
      <c r="N124" s="1589"/>
      <c r="O124" s="1589"/>
      <c r="P124" s="1590"/>
      <c r="Q124" s="1589" t="s">
        <v>4432</v>
      </c>
      <c r="R124" s="1589"/>
      <c r="S124" s="1589"/>
      <c r="T124" s="1589"/>
      <c r="U124" s="1589"/>
      <c r="V124" s="1589"/>
      <c r="W124" s="1589"/>
      <c r="X124" s="1589"/>
      <c r="Y124" s="1591"/>
      <c r="Z124" s="1576" t="s">
        <v>555</v>
      </c>
      <c r="AA124" s="1576"/>
      <c r="AB124" s="1576"/>
      <c r="AC124" s="1576"/>
      <c r="AD124" s="1576"/>
      <c r="AE124" s="1577"/>
      <c r="AF124" s="1577"/>
      <c r="AG124" s="1577"/>
      <c r="AH124" s="1577"/>
      <c r="AI124" s="1577"/>
      <c r="AJ124" s="1577"/>
      <c r="AK124" s="1577"/>
      <c r="AL124" s="1577"/>
      <c r="AM124" s="1577"/>
      <c r="AN124" s="1577"/>
      <c r="AO124" s="1577"/>
      <c r="AP124" s="1577"/>
      <c r="AQ124" s="1577"/>
      <c r="AR124" s="1577"/>
      <c r="AS124" s="1577"/>
      <c r="AT124" s="1578"/>
      <c r="AU124" s="122"/>
    </row>
    <row r="125" spans="1:52" ht="18.649999999999999" customHeight="1">
      <c r="A125" s="113"/>
      <c r="B125" s="181"/>
      <c r="C125" s="1174" t="s">
        <v>562</v>
      </c>
      <c r="D125" s="1175"/>
      <c r="E125" s="1175"/>
      <c r="F125" s="1175"/>
      <c r="G125" s="1175"/>
      <c r="H125" s="1176"/>
      <c r="I125" s="1567" t="s">
        <v>4433</v>
      </c>
      <c r="J125" s="1568"/>
      <c r="K125" s="1568"/>
      <c r="L125" s="1568"/>
      <c r="M125" s="1568"/>
      <c r="N125" s="1568"/>
      <c r="O125" s="1568"/>
      <c r="P125" s="1569"/>
      <c r="Q125" s="1568" t="s">
        <v>4434</v>
      </c>
      <c r="R125" s="1568"/>
      <c r="S125" s="1568"/>
      <c r="T125" s="1568"/>
      <c r="U125" s="1568"/>
      <c r="V125" s="1568"/>
      <c r="W125" s="1568"/>
      <c r="X125" s="1568"/>
      <c r="Y125" s="1571"/>
      <c r="Z125" s="1301" t="s">
        <v>398</v>
      </c>
      <c r="AA125" s="1302"/>
      <c r="AB125" s="1302"/>
      <c r="AC125" s="1302"/>
      <c r="AD125" s="1303"/>
      <c r="AE125" s="1298" t="s">
        <v>2239</v>
      </c>
      <c r="AF125" s="1299"/>
      <c r="AG125" s="1299"/>
      <c r="AH125" s="1299"/>
      <c r="AI125" s="1299"/>
      <c r="AJ125" s="350" t="s">
        <v>1231</v>
      </c>
      <c r="AK125" s="1299" t="s">
        <v>1964</v>
      </c>
      <c r="AL125" s="1299"/>
      <c r="AM125" s="1299"/>
      <c r="AN125" s="1299"/>
      <c r="AO125" s="350" t="s">
        <v>1182</v>
      </c>
      <c r="AP125" s="1299" t="s">
        <v>2240</v>
      </c>
      <c r="AQ125" s="1299"/>
      <c r="AR125" s="1299"/>
      <c r="AS125" s="1299"/>
      <c r="AT125" s="1304"/>
      <c r="AU125" s="122"/>
      <c r="AV125" s="114" t="str">
        <f>IF(AND(AE125&lt;&gt;"",AK125&lt;&gt;"",AP125&lt;&gt;""),IF(LENB(AE125)+LENB(AK125)+LENB(AP125)&lt;13,"OK","NG"),"OK")</f>
        <v>OK</v>
      </c>
    </row>
    <row r="126" spans="1:52" ht="18.649999999999999" customHeight="1">
      <c r="A126" s="113"/>
      <c r="B126" s="181"/>
      <c r="C126" s="1150"/>
      <c r="D126" s="1151"/>
      <c r="E126" s="1151"/>
      <c r="F126" s="1151"/>
      <c r="G126" s="1151"/>
      <c r="H126" s="1152"/>
      <c r="I126" s="1545"/>
      <c r="J126" s="1570"/>
      <c r="K126" s="1570"/>
      <c r="L126" s="1570"/>
      <c r="M126" s="1570"/>
      <c r="N126" s="1570"/>
      <c r="O126" s="1570"/>
      <c r="P126" s="1546"/>
      <c r="Q126" s="1570"/>
      <c r="R126" s="1570"/>
      <c r="S126" s="1570"/>
      <c r="T126" s="1570"/>
      <c r="U126" s="1570"/>
      <c r="V126" s="1570"/>
      <c r="W126" s="1570"/>
      <c r="X126" s="1570"/>
      <c r="Y126" s="1572"/>
      <c r="Z126" s="1459" t="s">
        <v>399</v>
      </c>
      <c r="AA126" s="1459"/>
      <c r="AB126" s="1459"/>
      <c r="AC126" s="1459"/>
      <c r="AD126" s="1459"/>
      <c r="AE126" s="1298"/>
      <c r="AF126" s="1299"/>
      <c r="AG126" s="1299"/>
      <c r="AH126" s="1299"/>
      <c r="AI126" s="1299"/>
      <c r="AJ126" s="350" t="s">
        <v>1231</v>
      </c>
      <c r="AK126" s="1299"/>
      <c r="AL126" s="1299"/>
      <c r="AM126" s="1299"/>
      <c r="AN126" s="1299"/>
      <c r="AO126" s="350" t="s">
        <v>1182</v>
      </c>
      <c r="AP126" s="1299"/>
      <c r="AQ126" s="1299"/>
      <c r="AR126" s="1299"/>
      <c r="AS126" s="1299"/>
      <c r="AT126" s="1304"/>
      <c r="AU126" s="122"/>
      <c r="AV126" s="114" t="str">
        <f>IF(AND(AE126&lt;&gt;"",AK126&lt;&gt;"",AP126&lt;&gt;""),IF(LENB(AE126)+LENB(AK126)+LENB(AP126)&lt;13,"OK","NG"),"OK")</f>
        <v>OK</v>
      </c>
    </row>
    <row r="127" spans="1:52" ht="18.649999999999999" customHeight="1">
      <c r="A127" s="113"/>
      <c r="B127" s="181"/>
      <c r="C127" s="1167"/>
      <c r="D127" s="1144"/>
      <c r="E127" s="1144"/>
      <c r="F127" s="1144"/>
      <c r="G127" s="1144"/>
      <c r="H127" s="1145"/>
      <c r="I127" s="1498"/>
      <c r="J127" s="1499"/>
      <c r="K127" s="1499"/>
      <c r="L127" s="1499"/>
      <c r="M127" s="1499"/>
      <c r="N127" s="1499"/>
      <c r="O127" s="1499"/>
      <c r="P127" s="1530"/>
      <c r="Q127" s="1499"/>
      <c r="R127" s="1499"/>
      <c r="S127" s="1499"/>
      <c r="T127" s="1499"/>
      <c r="U127" s="1499"/>
      <c r="V127" s="1499"/>
      <c r="W127" s="1499"/>
      <c r="X127" s="1499"/>
      <c r="Y127" s="1500"/>
      <c r="Z127" s="1301" t="s">
        <v>773</v>
      </c>
      <c r="AA127" s="1302"/>
      <c r="AB127" s="1302"/>
      <c r="AC127" s="1302"/>
      <c r="AD127" s="1303"/>
      <c r="AE127" s="1557" t="s">
        <v>2242</v>
      </c>
      <c r="AF127" s="1558"/>
      <c r="AG127" s="1558"/>
      <c r="AH127" s="1558"/>
      <c r="AI127" s="1558"/>
      <c r="AJ127" s="1558"/>
      <c r="AK127" s="1558"/>
      <c r="AL127" s="1558"/>
      <c r="AM127" s="1558"/>
      <c r="AN127" s="1558"/>
      <c r="AO127" s="1558"/>
      <c r="AP127" s="1558"/>
      <c r="AQ127" s="1558"/>
      <c r="AR127" s="1558"/>
      <c r="AS127" s="1558"/>
      <c r="AT127" s="1559"/>
      <c r="AU127" s="122"/>
      <c r="AV127" s="137" t="str">
        <f>IF(ISERROR(FIND("@",AE127,FIND("@",AE127,1)+1)),"OK","NG")</f>
        <v>OK</v>
      </c>
      <c r="AW127" s="500" t="str">
        <f>IF(AND(AX127="OK",AY127="OK",AZ127="OK"),"OK","NG")</f>
        <v>OK</v>
      </c>
      <c r="AX127" s="114" t="str">
        <f>IF(COUNTIF(AE127,"*@*"),"OK","NG")</f>
        <v>OK</v>
      </c>
      <c r="AY127" s="114" t="str">
        <f>IF(LEFT(AE127,1)="@","NG","OK")</f>
        <v>OK</v>
      </c>
      <c r="AZ127" s="500" t="str">
        <f>IF(ISERR(FIND(";",AE127)),"OK","NG")</f>
        <v>OK</v>
      </c>
    </row>
    <row r="128" spans="1:52" ht="18.649999999999999" customHeight="1" thickBot="1">
      <c r="A128" s="113"/>
      <c r="B128" s="181"/>
      <c r="C128" s="1164" t="s">
        <v>840</v>
      </c>
      <c r="D128" s="1165"/>
      <c r="E128" s="1165"/>
      <c r="F128" s="1165"/>
      <c r="G128" s="1165"/>
      <c r="H128" s="1166"/>
      <c r="I128" s="471"/>
      <c r="J128" s="472"/>
      <c r="K128" s="1601" t="s">
        <v>996</v>
      </c>
      <c r="L128" s="1601"/>
      <c r="M128" s="1601"/>
      <c r="N128" s="1601"/>
      <c r="O128" s="1601"/>
      <c r="P128" s="1601"/>
      <c r="Q128" s="1601"/>
      <c r="R128" s="1601"/>
      <c r="S128" s="1601"/>
      <c r="T128" s="1601"/>
      <c r="U128" s="472"/>
      <c r="V128" s="472"/>
      <c r="W128" s="1601" t="s">
        <v>841</v>
      </c>
      <c r="X128" s="1601"/>
      <c r="Y128" s="1601"/>
      <c r="Z128" s="1601"/>
      <c r="AA128" s="1601"/>
      <c r="AB128" s="1601"/>
      <c r="AC128" s="1601"/>
      <c r="AD128" s="1601"/>
      <c r="AE128" s="1601"/>
      <c r="AF128" s="1601"/>
      <c r="AG128" s="473"/>
      <c r="AH128" s="473"/>
      <c r="AI128" s="473"/>
      <c r="AJ128" s="473"/>
      <c r="AK128" s="473"/>
      <c r="AL128" s="473"/>
      <c r="AM128" s="473"/>
      <c r="AN128" s="473"/>
      <c r="AO128" s="473"/>
      <c r="AP128" s="473"/>
      <c r="AQ128" s="473"/>
      <c r="AR128" s="473"/>
      <c r="AS128" s="473"/>
      <c r="AT128" s="474"/>
      <c r="AU128" s="122"/>
      <c r="AV128" s="114">
        <v>1</v>
      </c>
    </row>
    <row r="129" spans="1:52" ht="18.649999999999999" hidden="1" customHeight="1">
      <c r="A129" s="113"/>
      <c r="B129" s="181"/>
      <c r="C129" s="1164" t="s">
        <v>839</v>
      </c>
      <c r="D129" s="1165"/>
      <c r="E129" s="1165"/>
      <c r="F129" s="1165"/>
      <c r="G129" s="1165"/>
      <c r="H129" s="1166"/>
      <c r="I129" s="475" t="s">
        <v>774</v>
      </c>
      <c r="J129" s="1602"/>
      <c r="K129" s="1602"/>
      <c r="L129" s="437" t="s">
        <v>775</v>
      </c>
      <c r="M129" s="1602"/>
      <c r="N129" s="1602"/>
      <c r="O129" s="1248"/>
      <c r="P129" s="1248"/>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603"/>
      <c r="AU129" s="122"/>
      <c r="AZ129" s="340" t="s">
        <v>1073</v>
      </c>
    </row>
    <row r="130" spans="1:52" ht="18.649999999999999" hidden="1" customHeight="1">
      <c r="A130" s="113"/>
      <c r="B130" s="181"/>
      <c r="C130" s="1150"/>
      <c r="D130" s="1151"/>
      <c r="E130" s="1151"/>
      <c r="F130" s="1151"/>
      <c r="G130" s="1151"/>
      <c r="H130" s="1152"/>
      <c r="I130" s="1177"/>
      <c r="J130" s="1178"/>
      <c r="K130" s="1178"/>
      <c r="L130" s="1178"/>
      <c r="M130" s="1178"/>
      <c r="N130" s="1178"/>
      <c r="O130" s="1178"/>
      <c r="P130" s="1178"/>
      <c r="Q130" s="1178"/>
      <c r="R130" s="1178"/>
      <c r="S130" s="1178"/>
      <c r="T130" s="1178"/>
      <c r="U130" s="1178"/>
      <c r="V130" s="1178"/>
      <c r="W130" s="1178"/>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178"/>
      <c r="AS130" s="1178"/>
      <c r="AT130" s="1179"/>
      <c r="AU130" s="122"/>
      <c r="AZ130" s="340" t="s">
        <v>1073</v>
      </c>
    </row>
    <row r="131" spans="1:52" ht="18.649999999999999" hidden="1" customHeight="1" thickBot="1">
      <c r="A131" s="113"/>
      <c r="B131" s="181"/>
      <c r="C131" s="1153"/>
      <c r="D131" s="1154"/>
      <c r="E131" s="1154"/>
      <c r="F131" s="1154"/>
      <c r="G131" s="1154"/>
      <c r="H131" s="1155"/>
      <c r="I131" s="1604"/>
      <c r="J131" s="1605"/>
      <c r="K131" s="1605"/>
      <c r="L131" s="1605"/>
      <c r="M131" s="1605"/>
      <c r="N131" s="1605"/>
      <c r="O131" s="1605"/>
      <c r="P131" s="1605"/>
      <c r="Q131" s="1605"/>
      <c r="R131" s="1605"/>
      <c r="S131" s="1605"/>
      <c r="T131" s="1605"/>
      <c r="U131" s="1605"/>
      <c r="V131" s="1605"/>
      <c r="W131" s="1605"/>
      <c r="X131" s="1605"/>
      <c r="Y131" s="1605"/>
      <c r="Z131" s="1605"/>
      <c r="AA131" s="1605"/>
      <c r="AB131" s="1605"/>
      <c r="AC131" s="1605"/>
      <c r="AD131" s="1605"/>
      <c r="AE131" s="1605"/>
      <c r="AF131" s="1605"/>
      <c r="AG131" s="1605"/>
      <c r="AH131" s="1605"/>
      <c r="AI131" s="1605"/>
      <c r="AJ131" s="1605"/>
      <c r="AK131" s="1605"/>
      <c r="AL131" s="1605"/>
      <c r="AM131" s="1605"/>
      <c r="AN131" s="1605"/>
      <c r="AO131" s="1605"/>
      <c r="AP131" s="1605"/>
      <c r="AQ131" s="1605"/>
      <c r="AR131" s="1605"/>
      <c r="AS131" s="1605"/>
      <c r="AT131" s="1606"/>
      <c r="AU131" s="122"/>
      <c r="AZ131" s="340" t="s">
        <v>1073</v>
      </c>
    </row>
    <row r="132" spans="1:52" ht="18" customHeight="1" thickBot="1">
      <c r="A132" s="113"/>
      <c r="B132" s="181"/>
      <c r="C132" s="476"/>
      <c r="D132" s="476"/>
      <c r="E132" s="476"/>
      <c r="F132" s="476"/>
      <c r="G132" s="476"/>
      <c r="H132" s="476"/>
      <c r="I132" s="484"/>
      <c r="J132" s="484"/>
      <c r="K132" s="484"/>
      <c r="L132" s="484"/>
      <c r="M132" s="484"/>
      <c r="N132" s="484"/>
      <c r="O132" s="484"/>
      <c r="P132" s="484"/>
      <c r="Q132" s="484"/>
      <c r="R132" s="484"/>
      <c r="S132" s="484"/>
      <c r="T132" s="484"/>
      <c r="U132" s="484"/>
      <c r="V132" s="484"/>
      <c r="W132" s="484"/>
      <c r="X132" s="484"/>
      <c r="Y132" s="484"/>
      <c r="Z132" s="484"/>
      <c r="AA132" s="484"/>
      <c r="AB132" s="484"/>
      <c r="AC132" s="484"/>
      <c r="AD132" s="484"/>
      <c r="AE132" s="484"/>
      <c r="AF132" s="484"/>
      <c r="AG132" s="484"/>
      <c r="AH132" s="484"/>
      <c r="AI132" s="484"/>
      <c r="AJ132" s="484"/>
      <c r="AK132" s="484"/>
      <c r="AL132" s="484"/>
      <c r="AM132" s="484"/>
      <c r="AN132" s="484"/>
      <c r="AO132" s="484"/>
      <c r="AP132" s="484"/>
      <c r="AQ132" s="484"/>
      <c r="AR132" s="484"/>
      <c r="AS132" s="484"/>
      <c r="AT132" s="484"/>
      <c r="AU132" s="122"/>
    </row>
    <row r="133" spans="1:52" ht="18" customHeight="1">
      <c r="A133" s="113"/>
      <c r="B133" s="181"/>
      <c r="C133" s="1592" t="s">
        <v>776</v>
      </c>
      <c r="D133" s="1593"/>
      <c r="E133" s="1593"/>
      <c r="F133" s="1593"/>
      <c r="G133" s="1593"/>
      <c r="H133" s="1594"/>
      <c r="I133" s="1494" t="s">
        <v>2017</v>
      </c>
      <c r="J133" s="1494"/>
      <c r="K133" s="1494"/>
      <c r="L133" s="1494"/>
      <c r="M133" s="1494"/>
      <c r="N133" s="1494"/>
      <c r="O133" s="1494"/>
      <c r="P133" s="1494"/>
      <c r="Q133" s="1494"/>
      <c r="R133" s="1494"/>
      <c r="S133" s="1494"/>
      <c r="T133" s="1494"/>
      <c r="U133" s="1494"/>
      <c r="V133" s="1494"/>
      <c r="W133" s="1494"/>
      <c r="X133" s="1494"/>
      <c r="Y133" s="1494"/>
      <c r="Z133" s="1494"/>
      <c r="AA133" s="1494"/>
      <c r="AB133" s="1494"/>
      <c r="AC133" s="1494"/>
      <c r="AD133" s="1494"/>
      <c r="AE133" s="1494"/>
      <c r="AF133" s="1494"/>
      <c r="AG133" s="1494"/>
      <c r="AH133" s="1494"/>
      <c r="AI133" s="1494"/>
      <c r="AJ133" s="1494"/>
      <c r="AK133" s="1494"/>
      <c r="AL133" s="1494"/>
      <c r="AM133" s="1494"/>
      <c r="AN133" s="1494"/>
      <c r="AO133" s="1494"/>
      <c r="AP133" s="1494"/>
      <c r="AQ133" s="1494"/>
      <c r="AR133" s="1494"/>
      <c r="AS133" s="1494"/>
      <c r="AT133" s="1598"/>
      <c r="AU133" s="138"/>
    </row>
    <row r="134" spans="1:52" ht="18.649999999999999" customHeight="1">
      <c r="A134" s="113"/>
      <c r="B134" s="181"/>
      <c r="C134" s="1592"/>
      <c r="D134" s="1593"/>
      <c r="E134" s="1593"/>
      <c r="F134" s="1593"/>
      <c r="G134" s="1593"/>
      <c r="H134" s="1594"/>
      <c r="I134" s="1494"/>
      <c r="J134" s="1494"/>
      <c r="K134" s="1494"/>
      <c r="L134" s="1494"/>
      <c r="M134" s="1494"/>
      <c r="N134" s="1494"/>
      <c r="O134" s="1494"/>
      <c r="P134" s="1494"/>
      <c r="Q134" s="1494"/>
      <c r="R134" s="1494"/>
      <c r="S134" s="1494"/>
      <c r="T134" s="1494"/>
      <c r="U134" s="1494"/>
      <c r="V134" s="1494"/>
      <c r="W134" s="1494"/>
      <c r="X134" s="1494"/>
      <c r="Y134" s="1494"/>
      <c r="Z134" s="1494"/>
      <c r="AA134" s="1494"/>
      <c r="AB134" s="1494"/>
      <c r="AC134" s="1494"/>
      <c r="AD134" s="1494"/>
      <c r="AE134" s="1494"/>
      <c r="AF134" s="1494"/>
      <c r="AG134" s="1494"/>
      <c r="AH134" s="1494"/>
      <c r="AI134" s="1494"/>
      <c r="AJ134" s="1494"/>
      <c r="AK134" s="1494"/>
      <c r="AL134" s="1494"/>
      <c r="AM134" s="1494"/>
      <c r="AN134" s="1494"/>
      <c r="AO134" s="1494"/>
      <c r="AP134" s="1494"/>
      <c r="AQ134" s="1494"/>
      <c r="AR134" s="1494"/>
      <c r="AS134" s="1494"/>
      <c r="AT134" s="1598"/>
      <c r="AU134" s="138"/>
    </row>
    <row r="135" spans="1:52" ht="18.649999999999999" customHeight="1">
      <c r="A135" s="113"/>
      <c r="B135" s="181"/>
      <c r="C135" s="1592"/>
      <c r="D135" s="1593"/>
      <c r="E135" s="1593"/>
      <c r="F135" s="1593"/>
      <c r="G135" s="1593"/>
      <c r="H135" s="1594"/>
      <c r="I135" s="1494"/>
      <c r="J135" s="1494"/>
      <c r="K135" s="1494"/>
      <c r="L135" s="1494"/>
      <c r="M135" s="1494"/>
      <c r="N135" s="1494"/>
      <c r="O135" s="1494"/>
      <c r="P135" s="1494"/>
      <c r="Q135" s="1494"/>
      <c r="R135" s="1494"/>
      <c r="S135" s="1494"/>
      <c r="T135" s="1494"/>
      <c r="U135" s="1494"/>
      <c r="V135" s="1494"/>
      <c r="W135" s="1494"/>
      <c r="X135" s="1494"/>
      <c r="Y135" s="1494"/>
      <c r="Z135" s="1494"/>
      <c r="AA135" s="1494"/>
      <c r="AB135" s="1494"/>
      <c r="AC135" s="1494"/>
      <c r="AD135" s="1494"/>
      <c r="AE135" s="1494"/>
      <c r="AF135" s="1494"/>
      <c r="AG135" s="1494"/>
      <c r="AH135" s="1494"/>
      <c r="AI135" s="1494"/>
      <c r="AJ135" s="1494"/>
      <c r="AK135" s="1494"/>
      <c r="AL135" s="1494"/>
      <c r="AM135" s="1494"/>
      <c r="AN135" s="1494"/>
      <c r="AO135" s="1494"/>
      <c r="AP135" s="1494"/>
      <c r="AQ135" s="1494"/>
      <c r="AR135" s="1494"/>
      <c r="AS135" s="1494"/>
      <c r="AT135" s="1598"/>
      <c r="AU135" s="138"/>
    </row>
    <row r="136" spans="1:52" ht="18.649999999999999" customHeight="1">
      <c r="A136" s="113"/>
      <c r="B136" s="181"/>
      <c r="C136" s="1592"/>
      <c r="D136" s="1593"/>
      <c r="E136" s="1593"/>
      <c r="F136" s="1593"/>
      <c r="G136" s="1593"/>
      <c r="H136" s="1594"/>
      <c r="I136" s="1494"/>
      <c r="J136" s="1494"/>
      <c r="K136" s="1494"/>
      <c r="L136" s="1494"/>
      <c r="M136" s="1494"/>
      <c r="N136" s="1494"/>
      <c r="O136" s="1494"/>
      <c r="P136" s="1494"/>
      <c r="Q136" s="1494"/>
      <c r="R136" s="1494"/>
      <c r="S136" s="1494"/>
      <c r="T136" s="1494"/>
      <c r="U136" s="1494"/>
      <c r="V136" s="1494"/>
      <c r="W136" s="1494"/>
      <c r="X136" s="1494"/>
      <c r="Y136" s="1494"/>
      <c r="Z136" s="1494"/>
      <c r="AA136" s="1494"/>
      <c r="AB136" s="1494"/>
      <c r="AC136" s="1494"/>
      <c r="AD136" s="1494"/>
      <c r="AE136" s="1494"/>
      <c r="AF136" s="1494"/>
      <c r="AG136" s="1494"/>
      <c r="AH136" s="1494"/>
      <c r="AI136" s="1494"/>
      <c r="AJ136" s="1494"/>
      <c r="AK136" s="1494"/>
      <c r="AL136" s="1494"/>
      <c r="AM136" s="1494"/>
      <c r="AN136" s="1494"/>
      <c r="AO136" s="1494"/>
      <c r="AP136" s="1494"/>
      <c r="AQ136" s="1494"/>
      <c r="AR136" s="1494"/>
      <c r="AS136" s="1494"/>
      <c r="AT136" s="1598"/>
      <c r="AU136" s="138"/>
    </row>
    <row r="137" spans="1:52" ht="18.649999999999999" customHeight="1">
      <c r="A137" s="113"/>
      <c r="B137" s="181"/>
      <c r="C137" s="1592"/>
      <c r="D137" s="1593"/>
      <c r="E137" s="1593"/>
      <c r="F137" s="1593"/>
      <c r="G137" s="1593"/>
      <c r="H137" s="1594"/>
      <c r="I137" s="1494"/>
      <c r="J137" s="1494"/>
      <c r="K137" s="1494"/>
      <c r="L137" s="1494"/>
      <c r="M137" s="1494"/>
      <c r="N137" s="1494"/>
      <c r="O137" s="1494"/>
      <c r="P137" s="1494"/>
      <c r="Q137" s="1494"/>
      <c r="R137" s="1494"/>
      <c r="S137" s="1494"/>
      <c r="T137" s="1494"/>
      <c r="U137" s="1494"/>
      <c r="V137" s="1494"/>
      <c r="W137" s="1494"/>
      <c r="X137" s="1494"/>
      <c r="Y137" s="1494"/>
      <c r="Z137" s="1494"/>
      <c r="AA137" s="1494"/>
      <c r="AB137" s="1494"/>
      <c r="AC137" s="1494"/>
      <c r="AD137" s="1494"/>
      <c r="AE137" s="1494"/>
      <c r="AF137" s="1494"/>
      <c r="AG137" s="1494"/>
      <c r="AH137" s="1494"/>
      <c r="AI137" s="1494"/>
      <c r="AJ137" s="1494"/>
      <c r="AK137" s="1494"/>
      <c r="AL137" s="1494"/>
      <c r="AM137" s="1494"/>
      <c r="AN137" s="1494"/>
      <c r="AO137" s="1494"/>
      <c r="AP137" s="1494"/>
      <c r="AQ137" s="1494"/>
      <c r="AR137" s="1494"/>
      <c r="AS137" s="1494"/>
      <c r="AT137" s="1598"/>
      <c r="AU137" s="138"/>
    </row>
    <row r="138" spans="1:52" ht="18.649999999999999" customHeight="1" thickBot="1">
      <c r="A138" s="113"/>
      <c r="B138" s="181"/>
      <c r="C138" s="1595"/>
      <c r="D138" s="1596"/>
      <c r="E138" s="1596"/>
      <c r="F138" s="1596"/>
      <c r="G138" s="1596"/>
      <c r="H138" s="1597"/>
      <c r="I138" s="1599"/>
      <c r="J138" s="1599"/>
      <c r="K138" s="1599"/>
      <c r="L138" s="1599"/>
      <c r="M138" s="1599"/>
      <c r="N138" s="1599"/>
      <c r="O138" s="1599"/>
      <c r="P138" s="1599"/>
      <c r="Q138" s="1599"/>
      <c r="R138" s="1599"/>
      <c r="S138" s="1599"/>
      <c r="T138" s="1599"/>
      <c r="U138" s="1599"/>
      <c r="V138" s="1599"/>
      <c r="W138" s="1599"/>
      <c r="X138" s="1599"/>
      <c r="Y138" s="1599"/>
      <c r="Z138" s="1599"/>
      <c r="AA138" s="1599"/>
      <c r="AB138" s="1599"/>
      <c r="AC138" s="1599"/>
      <c r="AD138" s="1599"/>
      <c r="AE138" s="1599"/>
      <c r="AF138" s="1599"/>
      <c r="AG138" s="1599"/>
      <c r="AH138" s="1599"/>
      <c r="AI138" s="1599"/>
      <c r="AJ138" s="1599"/>
      <c r="AK138" s="1599"/>
      <c r="AL138" s="1599"/>
      <c r="AM138" s="1599"/>
      <c r="AN138" s="1599"/>
      <c r="AO138" s="1599"/>
      <c r="AP138" s="1599"/>
      <c r="AQ138" s="1599"/>
      <c r="AR138" s="1599"/>
      <c r="AS138" s="1599"/>
      <c r="AT138" s="1600"/>
      <c r="AU138" s="138"/>
    </row>
    <row r="139" spans="1:52" ht="18.649999999999999" customHeight="1">
      <c r="A139" s="113"/>
      <c r="B139" s="181"/>
      <c r="C139" s="147"/>
      <c r="D139" s="147"/>
      <c r="E139" s="147"/>
      <c r="F139" s="147"/>
      <c r="G139" s="147"/>
      <c r="H139" s="147"/>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38"/>
    </row>
    <row r="140" spans="1:52" ht="18.649999999999999" customHeight="1">
      <c r="A140" s="113"/>
      <c r="B140" s="18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38"/>
    </row>
    <row r="141" spans="1:52" ht="18" customHeight="1">
      <c r="A141" s="113"/>
      <c r="B141" s="18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38"/>
    </row>
    <row r="142" spans="1:52" ht="18" customHeight="1">
      <c r="A142" s="113"/>
      <c r="B142" s="18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38"/>
    </row>
    <row r="143" spans="1:52" ht="18.649999999999999" customHeight="1" thickBot="1">
      <c r="A143" s="113"/>
      <c r="B143" s="182"/>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40"/>
    </row>
    <row r="144" spans="1:52" ht="18.649999999999999" customHeight="1" thickTop="1">
      <c r="A144" s="113"/>
      <c r="C144" s="112"/>
      <c r="AC144" s="112"/>
      <c r="AD144" s="112"/>
      <c r="AE144" s="112"/>
      <c r="AF144" s="112"/>
      <c r="AG144" s="112"/>
      <c r="AH144" s="112"/>
      <c r="AI144" s="112"/>
      <c r="AJ144" s="112"/>
      <c r="AK144" s="112"/>
      <c r="AT144" s="141"/>
      <c r="AU144" s="142"/>
    </row>
    <row r="145" spans="1:47" ht="18.649999999999999" customHeight="1">
      <c r="A145" s="113"/>
      <c r="C145" s="112"/>
      <c r="AC145" s="112"/>
      <c r="AD145" s="112"/>
      <c r="AE145" s="112"/>
      <c r="AF145" s="112"/>
      <c r="AG145" s="112"/>
      <c r="AH145" s="112"/>
      <c r="AI145" s="112"/>
      <c r="AJ145" s="112"/>
      <c r="AK145" s="112"/>
      <c r="AT145" s="141"/>
      <c r="AU145" s="142"/>
    </row>
    <row r="146" spans="1:47" ht="18.649999999999999" customHeight="1">
      <c r="A146" s="113"/>
      <c r="C146" s="112"/>
      <c r="AC146" s="112"/>
      <c r="AD146" s="112"/>
      <c r="AE146" s="112"/>
      <c r="AF146" s="112"/>
      <c r="AG146" s="112"/>
      <c r="AH146" s="112"/>
      <c r="AI146" s="112"/>
      <c r="AJ146" s="112"/>
      <c r="AK146" s="112"/>
      <c r="AT146" s="141"/>
      <c r="AU146" s="142"/>
    </row>
    <row r="147" spans="1:47" ht="18.649999999999999" customHeight="1">
      <c r="A147" s="113"/>
      <c r="C147" s="112"/>
      <c r="AC147" s="112"/>
      <c r="AD147" s="112"/>
      <c r="AE147" s="112"/>
      <c r="AF147" s="112"/>
      <c r="AG147" s="112"/>
      <c r="AH147" s="112"/>
      <c r="AI147" s="112"/>
      <c r="AJ147" s="112"/>
      <c r="AK147" s="112"/>
      <c r="AT147" s="141"/>
      <c r="AU147" s="142"/>
    </row>
    <row r="148" spans="1:47" ht="18.649999999999999" customHeight="1">
      <c r="A148" s="113"/>
      <c r="C148" s="112"/>
      <c r="AC148" s="112"/>
      <c r="AD148" s="112"/>
      <c r="AE148" s="112"/>
      <c r="AF148" s="112"/>
      <c r="AG148" s="112"/>
      <c r="AH148" s="112"/>
      <c r="AI148" s="112"/>
      <c r="AJ148" s="112"/>
      <c r="AK148" s="112"/>
      <c r="AT148" s="141"/>
      <c r="AU148" s="142"/>
    </row>
    <row r="149" spans="1:47" ht="18.649999999999999" customHeight="1">
      <c r="A149" s="113"/>
      <c r="C149" s="112"/>
      <c r="AC149" s="112"/>
      <c r="AD149" s="112"/>
      <c r="AE149" s="112"/>
      <c r="AF149" s="112"/>
      <c r="AG149" s="112"/>
      <c r="AH149" s="112"/>
      <c r="AI149" s="112"/>
      <c r="AJ149" s="112"/>
      <c r="AK149" s="112"/>
      <c r="AT149" s="141"/>
      <c r="AU149" s="142"/>
    </row>
    <row r="150" spans="1:47" ht="18.649999999999999" customHeight="1">
      <c r="A150" s="113"/>
      <c r="C150" s="112"/>
      <c r="AC150" s="112"/>
      <c r="AD150" s="112"/>
      <c r="AE150" s="112"/>
      <c r="AF150" s="112"/>
      <c r="AG150" s="112"/>
      <c r="AH150" s="112"/>
      <c r="AI150" s="112"/>
      <c r="AJ150" s="112"/>
      <c r="AK150" s="112"/>
      <c r="AT150" s="141"/>
      <c r="AU150" s="142"/>
    </row>
    <row r="151" spans="1:47" ht="18.649999999999999" customHeight="1">
      <c r="A151" s="113"/>
      <c r="C151" s="112"/>
      <c r="AC151" s="112"/>
      <c r="AD151" s="112"/>
      <c r="AE151" s="112"/>
      <c r="AF151" s="112"/>
      <c r="AG151" s="112"/>
      <c r="AH151" s="112"/>
      <c r="AI151" s="112"/>
      <c r="AJ151" s="112"/>
      <c r="AK151" s="112"/>
      <c r="AT151" s="141"/>
      <c r="AU151" s="142"/>
    </row>
    <row r="152" spans="1:47" ht="18.649999999999999" customHeight="1">
      <c r="A152" s="113"/>
      <c r="C152" s="112"/>
      <c r="AC152" s="112"/>
      <c r="AD152" s="112"/>
      <c r="AE152" s="112"/>
      <c r="AF152" s="112"/>
      <c r="AG152" s="112"/>
      <c r="AH152" s="112"/>
      <c r="AI152" s="112"/>
      <c r="AJ152" s="112"/>
      <c r="AK152" s="112"/>
      <c r="AT152" s="141"/>
      <c r="AU152" s="142"/>
    </row>
    <row r="153" spans="1:47" ht="18.649999999999999" customHeight="1">
      <c r="C153" s="112"/>
      <c r="AC153" s="112"/>
      <c r="AD153" s="112"/>
      <c r="AE153" s="112"/>
      <c r="AF153" s="112"/>
      <c r="AG153" s="112"/>
      <c r="AH153" s="112"/>
      <c r="AI153" s="112"/>
      <c r="AJ153" s="112"/>
      <c r="AK153" s="112"/>
      <c r="AT153" s="141"/>
      <c r="AU153" s="142"/>
    </row>
    <row r="154" spans="1:47" ht="18.649999999999999" customHeight="1">
      <c r="C154" s="112"/>
      <c r="AC154" s="112"/>
      <c r="AD154" s="112"/>
      <c r="AE154" s="112"/>
      <c r="AF154" s="112"/>
      <c r="AG154" s="112"/>
      <c r="AH154" s="112"/>
      <c r="AI154" s="112"/>
      <c r="AJ154" s="112"/>
      <c r="AK154" s="112"/>
      <c r="AT154" s="141"/>
      <c r="AU154" s="142"/>
    </row>
    <row r="155" spans="1:47" ht="18.649999999999999" customHeight="1">
      <c r="C155" s="112"/>
      <c r="AC155" s="112"/>
      <c r="AD155" s="112"/>
      <c r="AE155" s="112"/>
      <c r="AF155" s="112"/>
      <c r="AG155" s="112"/>
      <c r="AH155" s="112"/>
      <c r="AI155" s="112"/>
      <c r="AJ155" s="112"/>
      <c r="AK155" s="112"/>
      <c r="AT155" s="141"/>
      <c r="AU155" s="142"/>
    </row>
    <row r="156" spans="1:47" ht="18.649999999999999" customHeight="1">
      <c r="C156" s="112"/>
      <c r="AC156" s="112"/>
      <c r="AD156" s="112"/>
      <c r="AE156" s="112"/>
      <c r="AF156" s="112"/>
      <c r="AG156" s="112"/>
      <c r="AH156" s="112"/>
      <c r="AI156" s="112"/>
      <c r="AJ156" s="112"/>
      <c r="AK156" s="112"/>
      <c r="AT156" s="141"/>
      <c r="AU156" s="142"/>
    </row>
    <row r="157" spans="1:47" ht="18.649999999999999" customHeight="1">
      <c r="C157" s="112"/>
      <c r="AC157" s="112"/>
      <c r="AD157" s="112"/>
      <c r="AE157" s="112"/>
      <c r="AF157" s="112"/>
      <c r="AG157" s="112"/>
      <c r="AH157" s="112"/>
      <c r="AI157" s="112"/>
      <c r="AJ157" s="112"/>
      <c r="AK157" s="112"/>
      <c r="AT157" s="141"/>
      <c r="AU157" s="142"/>
    </row>
    <row r="158" spans="1:47" ht="18.649999999999999" customHeight="1">
      <c r="C158" s="112"/>
      <c r="AC158" s="112"/>
      <c r="AD158" s="112"/>
      <c r="AE158" s="112"/>
      <c r="AF158" s="112"/>
      <c r="AG158" s="112"/>
      <c r="AH158" s="112"/>
      <c r="AI158" s="112"/>
      <c r="AJ158" s="112"/>
      <c r="AK158" s="112"/>
      <c r="AT158" s="141"/>
      <c r="AU158" s="142"/>
    </row>
    <row r="159" spans="1:47" ht="18.649999999999999" customHeight="1">
      <c r="C159" s="112"/>
      <c r="AC159" s="112"/>
      <c r="AD159" s="112"/>
      <c r="AE159" s="112"/>
      <c r="AF159" s="112"/>
      <c r="AG159" s="112"/>
      <c r="AH159" s="112"/>
      <c r="AI159" s="112"/>
      <c r="AJ159" s="112"/>
      <c r="AK159" s="112"/>
      <c r="AT159" s="141"/>
      <c r="AU159" s="142"/>
    </row>
    <row r="160" spans="1:47" ht="18.649999999999999" customHeight="1">
      <c r="C160" s="112"/>
      <c r="AC160" s="112"/>
      <c r="AD160" s="112"/>
      <c r="AE160" s="112"/>
      <c r="AF160" s="112"/>
      <c r="AG160" s="112"/>
      <c r="AH160" s="112"/>
      <c r="AI160" s="112"/>
      <c r="AJ160" s="112"/>
      <c r="AK160" s="112"/>
      <c r="AT160" s="141"/>
      <c r="AU160" s="142"/>
    </row>
    <row r="161" spans="3:47" ht="18.649999999999999" customHeight="1">
      <c r="C161" s="112"/>
      <c r="AC161" s="112"/>
      <c r="AD161" s="112"/>
      <c r="AE161" s="112"/>
      <c r="AF161" s="112"/>
      <c r="AG161" s="112"/>
      <c r="AH161" s="112"/>
      <c r="AI161" s="112"/>
      <c r="AJ161" s="112"/>
      <c r="AK161" s="112"/>
      <c r="AT161" s="141"/>
      <c r="AU161" s="142"/>
    </row>
    <row r="162" spans="3:47" ht="18.649999999999999" customHeight="1">
      <c r="C162" s="112"/>
      <c r="AC162" s="112"/>
      <c r="AD162" s="112"/>
      <c r="AE162" s="112"/>
      <c r="AF162" s="112"/>
      <c r="AG162" s="112"/>
      <c r="AH162" s="112"/>
      <c r="AI162" s="112"/>
      <c r="AJ162" s="112"/>
      <c r="AK162" s="112"/>
      <c r="AT162" s="141"/>
      <c r="AU162" s="142"/>
    </row>
    <row r="163" spans="3:47" ht="18.649999999999999" customHeight="1">
      <c r="C163" s="112"/>
      <c r="AC163" s="112"/>
      <c r="AD163" s="112"/>
      <c r="AE163" s="112"/>
      <c r="AF163" s="112"/>
      <c r="AG163" s="112"/>
      <c r="AH163" s="112"/>
      <c r="AI163" s="112"/>
      <c r="AJ163" s="112"/>
      <c r="AK163" s="112"/>
      <c r="AT163" s="141"/>
      <c r="AU163" s="142"/>
    </row>
    <row r="164" spans="3:47" ht="18.649999999999999" customHeight="1">
      <c r="C164" s="112"/>
      <c r="AC164" s="112"/>
      <c r="AD164" s="112"/>
      <c r="AE164" s="112"/>
      <c r="AF164" s="112"/>
      <c r="AG164" s="112"/>
      <c r="AH164" s="112"/>
      <c r="AI164" s="112"/>
      <c r="AJ164" s="112"/>
      <c r="AK164" s="112"/>
      <c r="AT164" s="141"/>
      <c r="AU164" s="142"/>
    </row>
    <row r="165" spans="3:47" ht="18.649999999999999" customHeight="1">
      <c r="C165" s="112"/>
      <c r="AC165" s="112"/>
      <c r="AD165" s="112"/>
      <c r="AE165" s="112"/>
      <c r="AF165" s="112"/>
      <c r="AG165" s="112"/>
      <c r="AH165" s="112"/>
      <c r="AI165" s="112"/>
      <c r="AJ165" s="112"/>
      <c r="AK165" s="112"/>
      <c r="AT165" s="141"/>
      <c r="AU165" s="142"/>
    </row>
    <row r="166" spans="3:47" ht="18.649999999999999" customHeight="1">
      <c r="C166" s="112"/>
      <c r="AC166" s="112"/>
      <c r="AD166" s="112"/>
      <c r="AE166" s="112"/>
      <c r="AF166" s="112"/>
      <c r="AG166" s="112"/>
      <c r="AH166" s="112"/>
      <c r="AI166" s="112"/>
      <c r="AJ166" s="112"/>
      <c r="AK166" s="112"/>
      <c r="AU166" s="142"/>
    </row>
    <row r="167" spans="3:47" ht="18.649999999999999" customHeight="1">
      <c r="C167" s="112"/>
      <c r="AC167" s="112"/>
      <c r="AD167" s="112"/>
      <c r="AE167" s="112"/>
      <c r="AF167" s="112"/>
      <c r="AG167" s="112"/>
      <c r="AH167" s="112"/>
      <c r="AI167" s="112"/>
      <c r="AJ167" s="112"/>
      <c r="AK167" s="112"/>
      <c r="AU167" s="142"/>
    </row>
    <row r="168" spans="3:47" ht="18.649999999999999" customHeight="1">
      <c r="C168" s="112"/>
      <c r="AC168" s="112"/>
      <c r="AD168" s="112"/>
      <c r="AE168" s="112"/>
      <c r="AF168" s="112"/>
      <c r="AG168" s="112"/>
      <c r="AH168" s="112"/>
      <c r="AI168" s="112"/>
      <c r="AJ168" s="112"/>
      <c r="AK168" s="112"/>
      <c r="AU168" s="142"/>
    </row>
    <row r="169" spans="3:47" ht="18.649999999999999" customHeight="1">
      <c r="C169" s="112"/>
      <c r="AC169" s="112"/>
      <c r="AD169" s="112"/>
      <c r="AE169" s="112"/>
      <c r="AF169" s="112"/>
      <c r="AG169" s="112"/>
      <c r="AH169" s="112"/>
      <c r="AI169" s="112"/>
      <c r="AJ169" s="112"/>
      <c r="AK169" s="112"/>
      <c r="AU169" s="142"/>
    </row>
    <row r="170" spans="3:47" ht="18.649999999999999" customHeight="1">
      <c r="C170" s="112"/>
      <c r="AC170" s="112"/>
      <c r="AD170" s="112"/>
      <c r="AE170" s="112"/>
      <c r="AF170" s="112"/>
      <c r="AG170" s="112"/>
      <c r="AH170" s="112"/>
      <c r="AI170" s="112"/>
      <c r="AJ170" s="112"/>
      <c r="AK170" s="112"/>
      <c r="AU170" s="142"/>
    </row>
    <row r="171" spans="3:47" ht="18.649999999999999" customHeight="1">
      <c r="C171" s="112"/>
      <c r="AC171" s="112"/>
      <c r="AD171" s="112"/>
      <c r="AE171" s="112"/>
      <c r="AF171" s="112"/>
      <c r="AG171" s="112"/>
      <c r="AH171" s="112"/>
      <c r="AI171" s="112"/>
      <c r="AJ171" s="112"/>
      <c r="AK171" s="112"/>
      <c r="AU171" s="142"/>
    </row>
    <row r="172" spans="3:47" ht="18.649999999999999" customHeight="1">
      <c r="C172" s="112"/>
      <c r="AC172" s="112"/>
      <c r="AD172" s="112"/>
      <c r="AE172" s="112"/>
      <c r="AF172" s="112"/>
      <c r="AG172" s="112"/>
      <c r="AH172" s="112"/>
      <c r="AI172" s="112"/>
      <c r="AJ172" s="112"/>
      <c r="AK172" s="112"/>
      <c r="AU172" s="142"/>
    </row>
    <row r="173" spans="3:47" ht="18.649999999999999" customHeight="1">
      <c r="C173" s="112"/>
      <c r="AC173" s="112"/>
      <c r="AD173" s="112"/>
      <c r="AE173" s="112"/>
      <c r="AF173" s="112"/>
      <c r="AG173" s="112"/>
      <c r="AH173" s="112"/>
      <c r="AI173" s="112"/>
      <c r="AJ173" s="112"/>
      <c r="AK173" s="112"/>
      <c r="AU173" s="142"/>
    </row>
    <row r="174" spans="3:47" ht="18.649999999999999" customHeight="1">
      <c r="C174" s="112"/>
      <c r="AC174" s="112"/>
      <c r="AD174" s="112"/>
      <c r="AE174" s="112"/>
      <c r="AF174" s="112"/>
      <c r="AG174" s="112"/>
      <c r="AH174" s="112"/>
      <c r="AI174" s="112"/>
      <c r="AJ174" s="112"/>
      <c r="AK174" s="112"/>
      <c r="AU174" s="142"/>
    </row>
    <row r="175" spans="3:47" ht="18.649999999999999" customHeight="1">
      <c r="C175" s="112"/>
      <c r="AC175" s="112"/>
      <c r="AD175" s="112"/>
      <c r="AE175" s="112"/>
      <c r="AF175" s="112"/>
      <c r="AG175" s="112"/>
      <c r="AH175" s="112"/>
      <c r="AI175" s="112"/>
      <c r="AJ175" s="112"/>
      <c r="AK175" s="112"/>
      <c r="AU175" s="142"/>
    </row>
    <row r="176" spans="3:47" ht="18.649999999999999" customHeight="1">
      <c r="C176" s="112"/>
      <c r="AC176" s="112"/>
      <c r="AD176" s="112"/>
      <c r="AE176" s="112"/>
      <c r="AF176" s="112"/>
      <c r="AG176" s="112"/>
      <c r="AH176" s="112"/>
      <c r="AI176" s="112"/>
      <c r="AJ176" s="112"/>
      <c r="AK176" s="112"/>
      <c r="AU176" s="142"/>
    </row>
    <row r="177" spans="3:47" ht="18.649999999999999" customHeight="1">
      <c r="C177" s="112"/>
      <c r="AC177" s="112"/>
      <c r="AD177" s="112"/>
      <c r="AE177" s="112"/>
      <c r="AF177" s="112"/>
      <c r="AG177" s="112"/>
      <c r="AH177" s="112"/>
      <c r="AI177" s="112"/>
      <c r="AJ177" s="112"/>
      <c r="AK177" s="112"/>
      <c r="AU177" s="142"/>
    </row>
    <row r="178" spans="3:47" ht="18.649999999999999" customHeight="1">
      <c r="C178" s="112"/>
      <c r="AC178" s="112"/>
      <c r="AD178" s="112"/>
      <c r="AE178" s="112"/>
      <c r="AF178" s="112"/>
      <c r="AG178" s="112"/>
      <c r="AH178" s="112"/>
      <c r="AI178" s="112"/>
      <c r="AJ178" s="112"/>
      <c r="AK178" s="112"/>
      <c r="AU178" s="142"/>
    </row>
    <row r="179" spans="3:47" ht="18.649999999999999" customHeight="1">
      <c r="C179" s="112"/>
      <c r="AC179" s="112"/>
      <c r="AD179" s="112"/>
      <c r="AE179" s="112"/>
      <c r="AF179" s="112"/>
      <c r="AG179" s="112"/>
      <c r="AH179" s="112"/>
      <c r="AI179" s="112"/>
      <c r="AJ179" s="112"/>
      <c r="AK179" s="112"/>
      <c r="AU179" s="142"/>
    </row>
    <row r="180" spans="3:47" ht="18.649999999999999" customHeight="1">
      <c r="C180" s="112"/>
      <c r="AC180" s="112"/>
      <c r="AD180" s="112"/>
      <c r="AE180" s="112"/>
      <c r="AF180" s="112"/>
      <c r="AG180" s="112"/>
      <c r="AH180" s="112"/>
      <c r="AI180" s="112"/>
      <c r="AJ180" s="112"/>
      <c r="AK180" s="112"/>
      <c r="AU180" s="142"/>
    </row>
    <row r="181" spans="3:47" ht="18.649999999999999" customHeight="1">
      <c r="C181" s="112"/>
      <c r="AC181" s="112"/>
      <c r="AD181" s="112"/>
      <c r="AE181" s="112"/>
      <c r="AF181" s="112"/>
      <c r="AG181" s="112"/>
      <c r="AH181" s="112"/>
      <c r="AI181" s="112"/>
      <c r="AJ181" s="112"/>
      <c r="AK181" s="112"/>
      <c r="AU181" s="142"/>
    </row>
    <row r="182" spans="3:47" ht="18.649999999999999" customHeight="1">
      <c r="AL182" s="143"/>
    </row>
    <row r="183" spans="3:47" ht="18.649999999999999" customHeight="1">
      <c r="AL183" s="143"/>
    </row>
    <row r="184" spans="3:47" ht="18.649999999999999" customHeight="1">
      <c r="AL184" s="143"/>
    </row>
    <row r="185" spans="3:47" ht="18.649999999999999" customHeight="1">
      <c r="AL185" s="143"/>
    </row>
    <row r="186" spans="3:47" ht="18.649999999999999" customHeight="1">
      <c r="AL186" s="143"/>
    </row>
    <row r="187" spans="3:47" ht="18.649999999999999" customHeight="1">
      <c r="AL187" s="143"/>
    </row>
    <row r="188" spans="3:47" ht="18.649999999999999" customHeight="1">
      <c r="AL188" s="143"/>
    </row>
    <row r="189" spans="3:47" ht="18.649999999999999" customHeight="1">
      <c r="AL189" s="143"/>
    </row>
    <row r="190" spans="3:47" ht="18.649999999999999" customHeight="1">
      <c r="AL190" s="143"/>
    </row>
    <row r="191" spans="3:47" ht="18.649999999999999" customHeight="1">
      <c r="AL191" s="143"/>
    </row>
    <row r="192" spans="3:47" ht="18.649999999999999" customHeight="1">
      <c r="AL192" s="143"/>
    </row>
    <row r="193" spans="38:38" ht="18.649999999999999" customHeight="1">
      <c r="AL193" s="143"/>
    </row>
    <row r="194" spans="38:38" ht="18.649999999999999" customHeight="1">
      <c r="AL194" s="143"/>
    </row>
    <row r="195" spans="38:38" ht="18.649999999999999" customHeight="1">
      <c r="AL195" s="143"/>
    </row>
    <row r="196" spans="38:38" ht="18.649999999999999" customHeight="1">
      <c r="AL196" s="143"/>
    </row>
    <row r="197" spans="38:38" ht="18.649999999999999" customHeight="1">
      <c r="AL197" s="143"/>
    </row>
    <row r="198" spans="38:38" ht="18.649999999999999" customHeight="1">
      <c r="AL198" s="143"/>
    </row>
    <row r="199" spans="38:38" ht="18.649999999999999" customHeight="1">
      <c r="AL199" s="143"/>
    </row>
    <row r="200" spans="38:38" ht="18.649999999999999" customHeight="1">
      <c r="AL200" s="143"/>
    </row>
    <row r="201" spans="38:38" ht="18.649999999999999" customHeight="1">
      <c r="AL201" s="143"/>
    </row>
    <row r="202" spans="38:38" ht="18.649999999999999" customHeight="1">
      <c r="AL202" s="143"/>
    </row>
    <row r="203" spans="38:38" ht="18.649999999999999" customHeight="1">
      <c r="AL203" s="143"/>
    </row>
    <row r="204" spans="38:38" ht="18.649999999999999" customHeight="1">
      <c r="AL204" s="143"/>
    </row>
    <row r="205" spans="38:38" ht="18.649999999999999" customHeight="1">
      <c r="AL205" s="143"/>
    </row>
    <row r="206" spans="38:38" ht="18.649999999999999" customHeight="1">
      <c r="AL206" s="143"/>
    </row>
    <row r="207" spans="38:38" ht="18.649999999999999" customHeight="1">
      <c r="AL207" s="143"/>
    </row>
    <row r="208" spans="38:38" ht="18.649999999999999" customHeight="1">
      <c r="AL208" s="143"/>
    </row>
    <row r="209" spans="38:38" ht="18.649999999999999" customHeight="1">
      <c r="AL209" s="143"/>
    </row>
    <row r="210" spans="38:38" ht="18.649999999999999" customHeight="1">
      <c r="AL210" s="143"/>
    </row>
    <row r="211" spans="38:38" ht="18.649999999999999" customHeight="1">
      <c r="AL211" s="143"/>
    </row>
    <row r="212" spans="38:38" ht="18.649999999999999" customHeight="1">
      <c r="AL212" s="143"/>
    </row>
    <row r="213" spans="38:38" ht="18.649999999999999" customHeight="1">
      <c r="AL213" s="143"/>
    </row>
    <row r="214" spans="38:38" ht="18.649999999999999" customHeight="1">
      <c r="AL214" s="143"/>
    </row>
    <row r="215" spans="38:38" ht="18.649999999999999" customHeight="1">
      <c r="AL215" s="143"/>
    </row>
    <row r="216" spans="38:38" ht="18.649999999999999" customHeight="1">
      <c r="AL216" s="143"/>
    </row>
    <row r="217" spans="38:38" ht="18.649999999999999" customHeight="1">
      <c r="AL217" s="143"/>
    </row>
    <row r="218" spans="38:38" ht="18.649999999999999" customHeight="1">
      <c r="AL218" s="143"/>
    </row>
    <row r="219" spans="38:38" ht="18.649999999999999" customHeight="1">
      <c r="AL219" s="143"/>
    </row>
    <row r="220" spans="38:38" ht="18.649999999999999" customHeight="1">
      <c r="AL220" s="143"/>
    </row>
    <row r="221" spans="38:38" ht="18.649999999999999" customHeight="1">
      <c r="AL221" s="143"/>
    </row>
    <row r="222" spans="38:38" ht="18.649999999999999" customHeight="1">
      <c r="AL222" s="143"/>
    </row>
    <row r="223" spans="38:38" ht="18.649999999999999" customHeight="1">
      <c r="AL223" s="143"/>
    </row>
    <row r="224" spans="38:38" ht="18.649999999999999" customHeight="1">
      <c r="AL224" s="143"/>
    </row>
    <row r="225" spans="38:38" ht="18.649999999999999" customHeight="1">
      <c r="AL225" s="143"/>
    </row>
    <row r="226" spans="38:38" ht="18.649999999999999" customHeight="1">
      <c r="AL226" s="143"/>
    </row>
    <row r="227" spans="38:38" ht="18.649999999999999" customHeight="1">
      <c r="AL227" s="143"/>
    </row>
    <row r="228" spans="38:38" ht="18.649999999999999" customHeight="1">
      <c r="AL228" s="143"/>
    </row>
    <row r="229" spans="38:38" ht="18.649999999999999" customHeight="1">
      <c r="AL229" s="143"/>
    </row>
    <row r="230" spans="38:38" ht="18.649999999999999" customHeight="1">
      <c r="AL230" s="143"/>
    </row>
    <row r="231" spans="38:38" ht="18.649999999999999" customHeight="1">
      <c r="AL231" s="143"/>
    </row>
    <row r="232" spans="38:38" ht="18.649999999999999" customHeight="1">
      <c r="AL232" s="143"/>
    </row>
    <row r="233" spans="38:38" ht="18.649999999999999" customHeight="1">
      <c r="AL233" s="143"/>
    </row>
    <row r="234" spans="38:38" ht="18.649999999999999" customHeight="1">
      <c r="AL234" s="143"/>
    </row>
    <row r="235" spans="38:38" ht="18.649999999999999" customHeight="1">
      <c r="AL235" s="143"/>
    </row>
    <row r="236" spans="38:38" ht="18.649999999999999" customHeight="1">
      <c r="AL236" s="143"/>
    </row>
    <row r="237" spans="38:38" ht="18.649999999999999" customHeight="1">
      <c r="AL237" s="143"/>
    </row>
    <row r="238" spans="38:38" ht="18.649999999999999" customHeight="1">
      <c r="AL238" s="143"/>
    </row>
    <row r="239" spans="38:38" ht="18.649999999999999" customHeight="1">
      <c r="AL239" s="143"/>
    </row>
    <row r="240" spans="38:38" ht="18.649999999999999" customHeight="1">
      <c r="AL240" s="143"/>
    </row>
    <row r="241" spans="38:38" ht="18.649999999999999" customHeight="1">
      <c r="AL241" s="143"/>
    </row>
    <row r="242" spans="38:38" ht="18.649999999999999" customHeight="1">
      <c r="AL242" s="143"/>
    </row>
    <row r="243" spans="38:38" ht="18.649999999999999" customHeight="1">
      <c r="AL243" s="143"/>
    </row>
    <row r="244" spans="38:38" ht="18.649999999999999" customHeight="1">
      <c r="AL244" s="143"/>
    </row>
    <row r="245" spans="38:38" ht="18.649999999999999" customHeight="1">
      <c r="AL245" s="143"/>
    </row>
    <row r="246" spans="38:38" ht="18.649999999999999" customHeight="1">
      <c r="AL246" s="143"/>
    </row>
    <row r="247" spans="38:38" ht="18.649999999999999" customHeight="1">
      <c r="AL247" s="143"/>
    </row>
    <row r="248" spans="38:38" ht="18.649999999999999" customHeight="1">
      <c r="AL248" s="143"/>
    </row>
    <row r="249" spans="38:38" ht="18.649999999999999" customHeight="1">
      <c r="AL249" s="143"/>
    </row>
    <row r="250" spans="38:38" ht="18.649999999999999" customHeight="1">
      <c r="AL250" s="143"/>
    </row>
    <row r="251" spans="38:38" ht="18.649999999999999" customHeight="1">
      <c r="AL251" s="143"/>
    </row>
    <row r="252" spans="38:38" ht="18.649999999999999" customHeight="1">
      <c r="AL252" s="143"/>
    </row>
    <row r="253" spans="38:38" ht="18.649999999999999" customHeight="1">
      <c r="AL253" s="143"/>
    </row>
    <row r="254" spans="38:38" ht="18.649999999999999" customHeight="1">
      <c r="AL254" s="143"/>
    </row>
    <row r="255" spans="38:38" ht="18.649999999999999" customHeight="1">
      <c r="AL255" s="143"/>
    </row>
    <row r="256" spans="38:38" ht="18.649999999999999" customHeight="1">
      <c r="AL256" s="143"/>
    </row>
    <row r="257" spans="38:38" ht="18.649999999999999" customHeight="1">
      <c r="AL257" s="143"/>
    </row>
    <row r="258" spans="38:38" ht="18.649999999999999" customHeight="1">
      <c r="AL258" s="143"/>
    </row>
    <row r="259" spans="38:38" ht="18.649999999999999" customHeight="1">
      <c r="AL259" s="143"/>
    </row>
    <row r="260" spans="38:38" ht="18.649999999999999" customHeight="1">
      <c r="AL260" s="143"/>
    </row>
    <row r="261" spans="38:38" ht="18.649999999999999" customHeight="1">
      <c r="AL261" s="143"/>
    </row>
    <row r="262" spans="38:38" ht="18.649999999999999" customHeight="1">
      <c r="AL262" s="143"/>
    </row>
    <row r="263" spans="38:38" ht="18.649999999999999" customHeight="1">
      <c r="AL263" s="143"/>
    </row>
  </sheetData>
  <sheetProtection algorithmName="SHA-512" hashValue="NGzwXz1SUL6lSEHd8V0VuhtwSbYK8qpI/kjGLrjgttIlwf9wuNs5V3QylzXfScMV9znsoaRrQGlyMNm405Xi3Q==" saltValue="S0k7sxhp2Vgk4r4IStfbUw==" spinCount="100000" sheet="1" objects="1" scenarios="1" selectLockedCells="1" selectUnlockedCells="1"/>
  <mergeCells count="359">
    <mergeCell ref="C133:H138"/>
    <mergeCell ref="I133:AT138"/>
    <mergeCell ref="Z127:AD127"/>
    <mergeCell ref="AE127:AT127"/>
    <mergeCell ref="C128:H128"/>
    <mergeCell ref="K128:T128"/>
    <mergeCell ref="W128:AF128"/>
    <mergeCell ref="C129:H131"/>
    <mergeCell ref="J129:K129"/>
    <mergeCell ref="M129:N129"/>
    <mergeCell ref="O129:AT129"/>
    <mergeCell ref="I130:AT131"/>
    <mergeCell ref="C125:H127"/>
    <mergeCell ref="Z125:AD125"/>
    <mergeCell ref="AE125:AI125"/>
    <mergeCell ref="AK125:AN125"/>
    <mergeCell ref="AP125:AT125"/>
    <mergeCell ref="Z126:AD126"/>
    <mergeCell ref="AE126:AI126"/>
    <mergeCell ref="AK126:AN126"/>
    <mergeCell ref="AP126:AT126"/>
    <mergeCell ref="I125:P127"/>
    <mergeCell ref="Q125:Y127"/>
    <mergeCell ref="Z123:AD123"/>
    <mergeCell ref="AE123:AT123"/>
    <mergeCell ref="C124:H124"/>
    <mergeCell ref="Z124:AD124"/>
    <mergeCell ref="AE124:AT124"/>
    <mergeCell ref="C121:H121"/>
    <mergeCell ref="I121:Y121"/>
    <mergeCell ref="Z121:AD121"/>
    <mergeCell ref="AE121:AT121"/>
    <mergeCell ref="C122:H123"/>
    <mergeCell ref="I122:Y123"/>
    <mergeCell ref="Z122:AD122"/>
    <mergeCell ref="AE122:AI122"/>
    <mergeCell ref="AK122:AN122"/>
    <mergeCell ref="AP122:AT122"/>
    <mergeCell ref="I124:P124"/>
    <mergeCell ref="Q124:Y124"/>
    <mergeCell ref="AP118:AT118"/>
    <mergeCell ref="Z119:AD119"/>
    <mergeCell ref="AE119:AI119"/>
    <mergeCell ref="AK119:AN119"/>
    <mergeCell ref="AP119:AT119"/>
    <mergeCell ref="Z120:AD120"/>
    <mergeCell ref="AE120:AT120"/>
    <mergeCell ref="M115:AT116"/>
    <mergeCell ref="C117:H117"/>
    <mergeCell ref="Z117:AD117"/>
    <mergeCell ref="AE117:AT117"/>
    <mergeCell ref="C118:H120"/>
    <mergeCell ref="Z118:AD118"/>
    <mergeCell ref="AE118:AI118"/>
    <mergeCell ref="AK118:AN118"/>
    <mergeCell ref="I117:P117"/>
    <mergeCell ref="Q117:Y117"/>
    <mergeCell ref="I118:P120"/>
    <mergeCell ref="Q118:Y120"/>
    <mergeCell ref="C110:H111"/>
    <mergeCell ref="I110:AT111"/>
    <mergeCell ref="C112:H113"/>
    <mergeCell ref="I112:AT113"/>
    <mergeCell ref="Q108:U109"/>
    <mergeCell ref="V108:W109"/>
    <mergeCell ref="X108:Y109"/>
    <mergeCell ref="Z108:AA109"/>
    <mergeCell ref="AB108:AC109"/>
    <mergeCell ref="AD108:AE109"/>
    <mergeCell ref="AB106:AT107"/>
    <mergeCell ref="C108:H109"/>
    <mergeCell ref="I108:I109"/>
    <mergeCell ref="J108:K109"/>
    <mergeCell ref="M108:M109"/>
    <mergeCell ref="N108:P109"/>
    <mergeCell ref="AF108:AG109"/>
    <mergeCell ref="AH108:AI109"/>
    <mergeCell ref="AJ108:AT109"/>
    <mergeCell ref="C106:H107"/>
    <mergeCell ref="I106:J107"/>
    <mergeCell ref="K106:L107"/>
    <mergeCell ref="M106:N107"/>
    <mergeCell ref="O106:P107"/>
    <mergeCell ref="Q106:U107"/>
    <mergeCell ref="V106:W107"/>
    <mergeCell ref="X106:Y107"/>
    <mergeCell ref="Z106:AA107"/>
    <mergeCell ref="L97:U98"/>
    <mergeCell ref="V97:AC98"/>
    <mergeCell ref="AD97:AE98"/>
    <mergeCell ref="AF97:AG98"/>
    <mergeCell ref="AH97:AI98"/>
    <mergeCell ref="M102:AT103"/>
    <mergeCell ref="C104:H105"/>
    <mergeCell ref="I104:R105"/>
    <mergeCell ref="T104:U104"/>
    <mergeCell ref="W104:X104"/>
    <mergeCell ref="Z104:AA104"/>
    <mergeCell ref="AB104:AF105"/>
    <mergeCell ref="AG104:AN105"/>
    <mergeCell ref="AP104:AQ104"/>
    <mergeCell ref="AS104:AT104"/>
    <mergeCell ref="T105:U105"/>
    <mergeCell ref="W105:X105"/>
    <mergeCell ref="Z105:AA105"/>
    <mergeCell ref="AP105:AQ105"/>
    <mergeCell ref="AS105:AT105"/>
    <mergeCell ref="AN97:AQ98"/>
    <mergeCell ref="C95:H96"/>
    <mergeCell ref="K95:L96"/>
    <mergeCell ref="O95:P96"/>
    <mergeCell ref="R95:W96"/>
    <mergeCell ref="Z95:AA96"/>
    <mergeCell ref="AD95:AE96"/>
    <mergeCell ref="AG95:AL96"/>
    <mergeCell ref="AO95:AP96"/>
    <mergeCell ref="AS95:AT96"/>
    <mergeCell ref="C91:H92"/>
    <mergeCell ref="AI91:AT91"/>
    <mergeCell ref="I92:M92"/>
    <mergeCell ref="N92:V92"/>
    <mergeCell ref="W92:AA92"/>
    <mergeCell ref="AB92:AH92"/>
    <mergeCell ref="AI92:AM92"/>
    <mergeCell ref="AN92:AO92"/>
    <mergeCell ref="C93:H94"/>
    <mergeCell ref="K93:L94"/>
    <mergeCell ref="O93:P94"/>
    <mergeCell ref="R93:W94"/>
    <mergeCell ref="Z93:AA94"/>
    <mergeCell ref="AD93:AE94"/>
    <mergeCell ref="AG93:AL94"/>
    <mergeCell ref="AO93:AP94"/>
    <mergeCell ref="AS93:AT94"/>
    <mergeCell ref="C87:H88"/>
    <mergeCell ref="I87:S88"/>
    <mergeCell ref="T87:Y88"/>
    <mergeCell ref="Z87:AK88"/>
    <mergeCell ref="AL87:AT87"/>
    <mergeCell ref="AL88:AT88"/>
    <mergeCell ref="C89:H90"/>
    <mergeCell ref="I89:R90"/>
    <mergeCell ref="S89:S90"/>
    <mergeCell ref="T89:Y90"/>
    <mergeCell ref="Z89:AD90"/>
    <mergeCell ref="AE89:AE90"/>
    <mergeCell ref="AF89:AF90"/>
    <mergeCell ref="AG89:AJ90"/>
    <mergeCell ref="AK89:AK90"/>
    <mergeCell ref="AL89:AO90"/>
    <mergeCell ref="AP89:AS90"/>
    <mergeCell ref="AT89:AT90"/>
    <mergeCell ref="C81:H82"/>
    <mergeCell ref="I81:AT82"/>
    <mergeCell ref="C83:H84"/>
    <mergeCell ref="I83:AT84"/>
    <mergeCell ref="C85:H86"/>
    <mergeCell ref="I85:AA86"/>
    <mergeCell ref="AB85:AF86"/>
    <mergeCell ref="AG85:AH86"/>
    <mergeCell ref="AI85:AJ86"/>
    <mergeCell ref="AK85:AL86"/>
    <mergeCell ref="AM85:AN86"/>
    <mergeCell ref="AO85:AP86"/>
    <mergeCell ref="AQ85:AR86"/>
    <mergeCell ref="AS85:AT86"/>
    <mergeCell ref="C77:H78"/>
    <mergeCell ref="I77:AT78"/>
    <mergeCell ref="C79:H80"/>
    <mergeCell ref="I79:J80"/>
    <mergeCell ref="K79:K80"/>
    <mergeCell ref="L79:M80"/>
    <mergeCell ref="N79:N80"/>
    <mergeCell ref="O79:P80"/>
    <mergeCell ref="Q79:Q80"/>
    <mergeCell ref="R79:S80"/>
    <mergeCell ref="AJ79:AK79"/>
    <mergeCell ref="AL79:AM79"/>
    <mergeCell ref="AN79:AO79"/>
    <mergeCell ref="Z80:AA80"/>
    <mergeCell ref="AB80:AC80"/>
    <mergeCell ref="AD80:AE80"/>
    <mergeCell ref="AF80:AG80"/>
    <mergeCell ref="AH80:AI80"/>
    <mergeCell ref="AJ80:AK80"/>
    <mergeCell ref="AL80:AM80"/>
    <mergeCell ref="Z79:AA79"/>
    <mergeCell ref="AB79:AC79"/>
    <mergeCell ref="AD79:AE79"/>
    <mergeCell ref="AF79:AG79"/>
    <mergeCell ref="AD72:AK73"/>
    <mergeCell ref="AL72:AT73"/>
    <mergeCell ref="O70:U70"/>
    <mergeCell ref="W70:AC70"/>
    <mergeCell ref="AE70:AK70"/>
    <mergeCell ref="AM70:AT70"/>
    <mergeCell ref="E74:H75"/>
    <mergeCell ref="I74:AT75"/>
    <mergeCell ref="C76:H76"/>
    <mergeCell ref="I76:M76"/>
    <mergeCell ref="O76:R76"/>
    <mergeCell ref="T76:X76"/>
    <mergeCell ref="E71:H73"/>
    <mergeCell ref="J71:K71"/>
    <mergeCell ref="M71:N71"/>
    <mergeCell ref="I72:M73"/>
    <mergeCell ref="N72:U73"/>
    <mergeCell ref="V72:AC73"/>
    <mergeCell ref="J69:AT69"/>
    <mergeCell ref="E70:H70"/>
    <mergeCell ref="J70:M70"/>
    <mergeCell ref="C66:H66"/>
    <mergeCell ref="I66:AA66"/>
    <mergeCell ref="AB66:AT66"/>
    <mergeCell ref="C67:H68"/>
    <mergeCell ref="I67:AA68"/>
    <mergeCell ref="AB67:AT68"/>
    <mergeCell ref="C51:H51"/>
    <mergeCell ref="J51:M51"/>
    <mergeCell ref="AD53:AK54"/>
    <mergeCell ref="AL53:AT54"/>
    <mergeCell ref="C55:H55"/>
    <mergeCell ref="I55:M55"/>
    <mergeCell ref="O55:R55"/>
    <mergeCell ref="T55:X55"/>
    <mergeCell ref="Y55:AD55"/>
    <mergeCell ref="AE55:AI55"/>
    <mergeCell ref="AK55:AN55"/>
    <mergeCell ref="AP55:AT55"/>
    <mergeCell ref="C52:H54"/>
    <mergeCell ref="J52:K52"/>
    <mergeCell ref="M52:N52"/>
    <mergeCell ref="I53:M54"/>
    <mergeCell ref="N53:U54"/>
    <mergeCell ref="V53:AC54"/>
    <mergeCell ref="O51:U51"/>
    <mergeCell ref="W51:AC51"/>
    <mergeCell ref="AE51:AK51"/>
    <mergeCell ref="AM51:AT51"/>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40:H41"/>
    <mergeCell ref="I40:AT41"/>
    <mergeCell ref="C42:H42"/>
    <mergeCell ref="I42:AT42"/>
    <mergeCell ref="C43:H43"/>
    <mergeCell ref="I43:N43"/>
    <mergeCell ref="O43:Q43"/>
    <mergeCell ref="R43:W43"/>
    <mergeCell ref="X43:AB43"/>
    <mergeCell ref="AC43:AE43"/>
    <mergeCell ref="AF43:AK43"/>
    <mergeCell ref="AL43:AT43"/>
    <mergeCell ref="U39:Z39"/>
    <mergeCell ref="AA39:AE39"/>
    <mergeCell ref="AF39:AG39"/>
    <mergeCell ref="AH39:AM39"/>
    <mergeCell ref="AN39:AR39"/>
    <mergeCell ref="AS39:AT39"/>
    <mergeCell ref="C39:H39"/>
    <mergeCell ref="I39:J39"/>
    <mergeCell ref="K39:L39"/>
    <mergeCell ref="N39:O39"/>
    <mergeCell ref="Q39:R39"/>
    <mergeCell ref="S39:T39"/>
    <mergeCell ref="AD36:AK37"/>
    <mergeCell ref="AL36:AT37"/>
    <mergeCell ref="C38:H38"/>
    <mergeCell ref="I38:M38"/>
    <mergeCell ref="O38:R38"/>
    <mergeCell ref="T38:X38"/>
    <mergeCell ref="Y38:AD38"/>
    <mergeCell ref="AE38:AI38"/>
    <mergeCell ref="AK38:AN38"/>
    <mergeCell ref="AP38:AT38"/>
    <mergeCell ref="C35:H37"/>
    <mergeCell ref="J35:K35"/>
    <mergeCell ref="M35:N35"/>
    <mergeCell ref="I36:M37"/>
    <mergeCell ref="N36:U37"/>
    <mergeCell ref="V36:AC37"/>
    <mergeCell ref="C31:H33"/>
    <mergeCell ref="C34:H34"/>
    <mergeCell ref="J34:M34"/>
    <mergeCell ref="AR20:AT22"/>
    <mergeCell ref="C23:AT24"/>
    <mergeCell ref="M25:AT26"/>
    <mergeCell ref="C27:H27"/>
    <mergeCell ref="I27:AT27"/>
    <mergeCell ref="C28:H30"/>
    <mergeCell ref="I28:AT30"/>
    <mergeCell ref="I31:X33"/>
    <mergeCell ref="Y31:AD33"/>
    <mergeCell ref="AE31:AT33"/>
    <mergeCell ref="O34:U34"/>
    <mergeCell ref="W34:AC34"/>
    <mergeCell ref="AE34:AK34"/>
    <mergeCell ref="AM34:AT34"/>
    <mergeCell ref="C18:H19"/>
    <mergeCell ref="L18:O19"/>
    <mergeCell ref="S18:V19"/>
    <mergeCell ref="AE18:AH19"/>
    <mergeCell ref="AL18:AO19"/>
    <mergeCell ref="C20:H22"/>
    <mergeCell ref="I20:AM22"/>
    <mergeCell ref="AO20:AQ22"/>
    <mergeCell ref="C3:AT4"/>
    <mergeCell ref="C11:H17"/>
    <mergeCell ref="I15:AT15"/>
    <mergeCell ref="I16:AT16"/>
    <mergeCell ref="I14:AA14"/>
    <mergeCell ref="AB14:AT14"/>
    <mergeCell ref="C5:AT7"/>
    <mergeCell ref="C8:AT8"/>
    <mergeCell ref="C9:AT9"/>
    <mergeCell ref="C10:AT10"/>
    <mergeCell ref="M58:AT59"/>
    <mergeCell ref="AH79:AI79"/>
    <mergeCell ref="AN80:AO80"/>
    <mergeCell ref="T79:Y80"/>
    <mergeCell ref="AJ97:AK98"/>
    <mergeCell ref="AL97:AM98"/>
    <mergeCell ref="C99:K100"/>
    <mergeCell ref="L99:U100"/>
    <mergeCell ref="V99:AC100"/>
    <mergeCell ref="AD99:AE100"/>
    <mergeCell ref="AF99:AG100"/>
    <mergeCell ref="AH99:AI100"/>
    <mergeCell ref="AJ99:AK100"/>
    <mergeCell ref="AL99:AM100"/>
    <mergeCell ref="C97:K98"/>
    <mergeCell ref="C60:H60"/>
    <mergeCell ref="I60:AT60"/>
    <mergeCell ref="C61:H65"/>
    <mergeCell ref="I61:AT62"/>
    <mergeCell ref="I63:AA63"/>
    <mergeCell ref="AB63:AT63"/>
    <mergeCell ref="I64:AA65"/>
    <mergeCell ref="AB64:AT65"/>
    <mergeCell ref="C69:H69"/>
  </mergeCells>
  <phoneticPr fontId="3"/>
  <conditionalFormatting sqref="I27">
    <cfRule type="expression" dxfId="502" priority="122">
      <formula>$I$27=""</formula>
    </cfRule>
  </conditionalFormatting>
  <conditionalFormatting sqref="I28">
    <cfRule type="expression" dxfId="501" priority="106">
      <formula>$I$28=""</formula>
    </cfRule>
  </conditionalFormatting>
  <conditionalFormatting sqref="I31">
    <cfRule type="expression" dxfId="500" priority="14">
      <formula>$AV$31="NG"</formula>
    </cfRule>
  </conditionalFormatting>
  <conditionalFormatting sqref="I36">
    <cfRule type="expression" dxfId="499" priority="47">
      <formula>OR(AV36="00",AV36="")</formula>
    </cfRule>
  </conditionalFormatting>
  <conditionalFormatting sqref="I38">
    <cfRule type="expression" dxfId="498" priority="105">
      <formula>$I$38=""</formula>
    </cfRule>
  </conditionalFormatting>
  <conditionalFormatting sqref="I48">
    <cfRule type="expression" dxfId="497" priority="120" stopIfTrue="1">
      <formula>I48=""</formula>
    </cfRule>
  </conditionalFormatting>
  <conditionalFormatting sqref="I53">
    <cfRule type="expression" dxfId="496" priority="39">
      <formula>OR(AV53="00",AV53="")</formula>
    </cfRule>
  </conditionalFormatting>
  <conditionalFormatting sqref="I55">
    <cfRule type="expression" dxfId="495" priority="70">
      <formula>$I$55=""</formula>
    </cfRule>
  </conditionalFormatting>
  <conditionalFormatting sqref="I64">
    <cfRule type="expression" dxfId="494" priority="33">
      <formula>$I$64=""</formula>
    </cfRule>
  </conditionalFormatting>
  <conditionalFormatting sqref="I72">
    <cfRule type="expression" dxfId="493" priority="25">
      <formula>OR(AV72="00",AV72="")</formula>
    </cfRule>
  </conditionalFormatting>
  <conditionalFormatting sqref="I76">
    <cfRule type="expression" dxfId="492" priority="67">
      <formula>$I$76=""</formula>
    </cfRule>
  </conditionalFormatting>
  <conditionalFormatting sqref="I104 AG104 I110 I112">
    <cfRule type="expression" dxfId="491" priority="128" stopIfTrue="1">
      <formula>I104=""</formula>
    </cfRule>
  </conditionalFormatting>
  <conditionalFormatting sqref="I79:J80">
    <cfRule type="expression" dxfId="490" priority="113">
      <formula>$I$79=""</formula>
    </cfRule>
  </conditionalFormatting>
  <conditionalFormatting sqref="I43:N43">
    <cfRule type="expression" dxfId="489" priority="98">
      <formula>$I$43=""</formula>
    </cfRule>
  </conditionalFormatting>
  <conditionalFormatting sqref="I49:N50">
    <cfRule type="expression" dxfId="488" priority="52">
      <formula>$I$49=""</formula>
    </cfRule>
  </conditionalFormatting>
  <conditionalFormatting sqref="I106:P107">
    <cfRule type="expression" dxfId="487" priority="127" stopIfTrue="1">
      <formula>$O$106=""</formula>
    </cfRule>
  </conditionalFormatting>
  <conditionalFormatting sqref="I108:P109">
    <cfRule type="expression" dxfId="486" priority="121">
      <formula>$AV$108=0</formula>
    </cfRule>
  </conditionalFormatting>
  <conditionalFormatting sqref="I93:Q94">
    <cfRule type="expression" dxfId="485" priority="84">
      <formula>$AV$94=0</formula>
    </cfRule>
  </conditionalFormatting>
  <conditionalFormatting sqref="I95:Q96">
    <cfRule type="expression" dxfId="484" priority="81">
      <formula>$AV$96=0</formula>
    </cfRule>
  </conditionalFormatting>
  <conditionalFormatting sqref="I89:R90">
    <cfRule type="expression" dxfId="483" priority="96">
      <formula>$I$89=""</formula>
    </cfRule>
  </conditionalFormatting>
  <conditionalFormatting sqref="I87:S88">
    <cfRule type="expression" dxfId="482" priority="108">
      <formula>$I$87=""</formula>
    </cfRule>
    <cfRule type="expression" dxfId="481" priority="109">
      <formula>$I$87="00：選択して下さい"</formula>
    </cfRule>
  </conditionalFormatting>
  <conditionalFormatting sqref="I117:Y127">
    <cfRule type="expression" dxfId="480" priority="2" stopIfTrue="1">
      <formula>I117=""</formula>
    </cfRule>
  </conditionalFormatting>
  <conditionalFormatting sqref="I18:AA19">
    <cfRule type="expression" dxfId="479" priority="118" stopIfTrue="1">
      <formula>$AV$12=0</formula>
    </cfRule>
  </conditionalFormatting>
  <conditionalFormatting sqref="I66:AA66">
    <cfRule type="expression" dxfId="478" priority="16">
      <formula>$I$66=""</formula>
    </cfRule>
  </conditionalFormatting>
  <conditionalFormatting sqref="I67:AA68">
    <cfRule type="expression" dxfId="477" priority="31">
      <formula>$I$67=""</formula>
    </cfRule>
  </conditionalFormatting>
  <conditionalFormatting sqref="I85:AA86">
    <cfRule type="expression" dxfId="476" priority="86">
      <formula>$I$85=""</formula>
    </cfRule>
  </conditionalFormatting>
  <conditionalFormatting sqref="I11:AT17">
    <cfRule type="expression" dxfId="475" priority="15" stopIfTrue="1">
      <formula>$AV$18=FALSE</formula>
    </cfRule>
  </conditionalFormatting>
  <conditionalFormatting sqref="I20:AT22">
    <cfRule type="expression" dxfId="474" priority="89">
      <formula>$AV$21=0</formula>
    </cfRule>
  </conditionalFormatting>
  <conditionalFormatting sqref="I40:AT41">
    <cfRule type="expression" dxfId="473" priority="99">
      <formula>$I$40=""</formula>
    </cfRule>
  </conditionalFormatting>
  <conditionalFormatting sqref="I60:AT62">
    <cfRule type="expression" dxfId="472" priority="29">
      <formula>I60=""</formula>
    </cfRule>
  </conditionalFormatting>
  <conditionalFormatting sqref="I71:AT73">
    <cfRule type="expression" dxfId="471" priority="19">
      <formula>$AV$69=TRUE</formula>
    </cfRule>
  </conditionalFormatting>
  <conditionalFormatting sqref="I74:AT75">
    <cfRule type="expression" dxfId="470" priority="28">
      <formula>$AV$74="NG"</formula>
    </cfRule>
  </conditionalFormatting>
  <conditionalFormatting sqref="I81:AT82">
    <cfRule type="expression" dxfId="469" priority="87">
      <formula>$I$81=""</formula>
    </cfRule>
  </conditionalFormatting>
  <conditionalFormatting sqref="I83:AT84">
    <cfRule type="expression" dxfId="468" priority="18">
      <formula>$AV$83="NG"</formula>
    </cfRule>
  </conditionalFormatting>
  <conditionalFormatting sqref="I128:AT128">
    <cfRule type="expression" dxfId="467" priority="92">
      <formula>$AV$128=0</formula>
    </cfRule>
  </conditionalFormatting>
  <conditionalFormatting sqref="J129 M129 I130">
    <cfRule type="expression" dxfId="466" priority="129" stopIfTrue="1">
      <formula>I129=""</formula>
    </cfRule>
  </conditionalFormatting>
  <conditionalFormatting sqref="J35:K35">
    <cfRule type="expression" dxfId="465" priority="49">
      <formula>$J$35=""</formula>
    </cfRule>
  </conditionalFormatting>
  <conditionalFormatting sqref="J52:K52">
    <cfRule type="expression" dxfId="464" priority="41">
      <formula>$J$52=""</formula>
    </cfRule>
  </conditionalFormatting>
  <conditionalFormatting sqref="J71:K71">
    <cfRule type="expression" dxfId="463" priority="27">
      <formula>$J$71=""</formula>
    </cfRule>
  </conditionalFormatting>
  <conditionalFormatting sqref="K39:L39">
    <cfRule type="expression" dxfId="462" priority="104">
      <formula>$K$39=""</formula>
    </cfRule>
  </conditionalFormatting>
  <conditionalFormatting sqref="L79:M80">
    <cfRule type="expression" dxfId="461" priority="112">
      <formula>$L$79=""</formula>
    </cfRule>
  </conditionalFormatting>
  <conditionalFormatting sqref="L97:U98">
    <cfRule type="expression" dxfId="460" priority="74">
      <formula>$AV$97=0</formula>
    </cfRule>
  </conditionalFormatting>
  <conditionalFormatting sqref="L99:U100">
    <cfRule type="expression" dxfId="459" priority="73">
      <formula>$AV$99=0</formula>
    </cfRule>
  </conditionalFormatting>
  <conditionalFormatting sqref="M35:N35">
    <cfRule type="expression" dxfId="458" priority="48">
      <formula>$M$35=""</formula>
    </cfRule>
  </conditionalFormatting>
  <conditionalFormatting sqref="M52:N52">
    <cfRule type="expression" dxfId="457" priority="40">
      <formula>$M$52=""</formula>
    </cfRule>
  </conditionalFormatting>
  <conditionalFormatting sqref="M71:N71">
    <cfRule type="expression" dxfId="456" priority="26">
      <formula>$M$71=""</formula>
    </cfRule>
  </conditionalFormatting>
  <conditionalFormatting sqref="N36">
    <cfRule type="expression" dxfId="455" priority="45">
      <formula>N36=""</formula>
    </cfRule>
  </conditionalFormatting>
  <conditionalFormatting sqref="N53">
    <cfRule type="expression" dxfId="454" priority="37">
      <formula>N53=""</formula>
    </cfRule>
  </conditionalFormatting>
  <conditionalFormatting sqref="N72">
    <cfRule type="expression" dxfId="453" priority="23">
      <formula>N72=""</formula>
    </cfRule>
  </conditionalFormatting>
  <conditionalFormatting sqref="N92 AB92 AN92 AQ92 AS92">
    <cfRule type="expression" dxfId="452" priority="131" stopIfTrue="1">
      <formula>AND(OR($AV$91=TRUE,$AW$91=TRUE,$AX$91=TRUE,$AY$91=TRUE,$AZ$91=TRUE,$BA$91=TRUE,$BB$91=TRUE,$BC$91=TRUE),N92="")</formula>
    </cfRule>
  </conditionalFormatting>
  <conditionalFormatting sqref="N92 AB92 AN92:AT92">
    <cfRule type="expression" dxfId="451" priority="132" stopIfTrue="1">
      <formula>AND($AV$91=FALSE,$AW$91=FALSE,$AX$91=FALSE,$AY$91=FALSE,$AZ$91=FALSE,$BA$91=FALSE,$BB$91=FALSE,$BC$91=FALSE)</formula>
    </cfRule>
  </conditionalFormatting>
  <conditionalFormatting sqref="N39:O39">
    <cfRule type="expression" dxfId="450" priority="103">
      <formula>$N$39=""</formula>
    </cfRule>
  </conditionalFormatting>
  <conditionalFormatting sqref="N34:U34">
    <cfRule type="expression" dxfId="449" priority="10">
      <formula>$O$34=""</formula>
    </cfRule>
  </conditionalFormatting>
  <conditionalFormatting sqref="N51:U51">
    <cfRule type="expression" dxfId="448" priority="7">
      <formula>$O$34=""</formula>
    </cfRule>
  </conditionalFormatting>
  <conditionalFormatting sqref="N70:U70">
    <cfRule type="expression" dxfId="447" priority="4">
      <formula>$O$34=""</formula>
    </cfRule>
  </conditionalFormatting>
  <conditionalFormatting sqref="O48">
    <cfRule type="expression" dxfId="446" priority="53" stopIfTrue="1">
      <formula>O48=""</formula>
    </cfRule>
  </conditionalFormatting>
  <conditionalFormatting sqref="O79:P80">
    <cfRule type="expression" dxfId="445" priority="111">
      <formula>$O$79=""</formula>
    </cfRule>
  </conditionalFormatting>
  <conditionalFormatting sqref="O38:R38">
    <cfRule type="expression" dxfId="444" priority="72">
      <formula>$O$38=""</formula>
    </cfRule>
  </conditionalFormatting>
  <conditionalFormatting sqref="O55:R55">
    <cfRule type="expression" dxfId="443" priority="69">
      <formula>$O$55=""</formula>
    </cfRule>
  </conditionalFormatting>
  <conditionalFormatting sqref="O76:R76">
    <cfRule type="expression" dxfId="442" priority="66">
      <formula>$O$76=""</formula>
    </cfRule>
  </conditionalFormatting>
  <conditionalFormatting sqref="O49:T50">
    <cfRule type="expression" dxfId="441" priority="51">
      <formula>$O$49=""</formula>
    </cfRule>
  </conditionalFormatting>
  <conditionalFormatting sqref="Q39:R39">
    <cfRule type="expression" dxfId="440" priority="102">
      <formula>$Q$39=""</formula>
    </cfRule>
  </conditionalFormatting>
  <conditionalFormatting sqref="R79:S80">
    <cfRule type="expression" dxfId="439" priority="110">
      <formula>$R$79=""</formula>
    </cfRule>
  </conditionalFormatting>
  <conditionalFormatting sqref="S104:AA105">
    <cfRule type="expression" dxfId="438" priority="125" stopIfTrue="1">
      <formula>$AV$104=0</formula>
    </cfRule>
  </conditionalFormatting>
  <conditionalFormatting sqref="T38:X38">
    <cfRule type="expression" dxfId="437" priority="71">
      <formula>$T$38=""</formula>
    </cfRule>
  </conditionalFormatting>
  <conditionalFormatting sqref="T55:X55">
    <cfRule type="expression" dxfId="436" priority="68">
      <formula>$T$55=""</formula>
    </cfRule>
  </conditionalFormatting>
  <conditionalFormatting sqref="T76:X76">
    <cfRule type="expression" dxfId="435" priority="65">
      <formula>$T$76=""</formula>
    </cfRule>
  </conditionalFormatting>
  <conditionalFormatting sqref="V36">
    <cfRule type="expression" dxfId="434" priority="44">
      <formula>V36=""</formula>
    </cfRule>
  </conditionalFormatting>
  <conditionalFormatting sqref="V53">
    <cfRule type="expression" dxfId="433" priority="36">
      <formula>V53=""</formula>
    </cfRule>
  </conditionalFormatting>
  <conditionalFormatting sqref="V72">
    <cfRule type="expression" dxfId="432" priority="22">
      <formula>V72=""</formula>
    </cfRule>
  </conditionalFormatting>
  <conditionalFormatting sqref="V106:AA107">
    <cfRule type="expression" dxfId="431" priority="126" stopIfTrue="1">
      <formula>$Z$106=""</formula>
    </cfRule>
  </conditionalFormatting>
  <conditionalFormatting sqref="V34:AC34">
    <cfRule type="expression" dxfId="430" priority="9">
      <formula>$W$34=""</formula>
    </cfRule>
  </conditionalFormatting>
  <conditionalFormatting sqref="V51:AC51">
    <cfRule type="expression" dxfId="429" priority="6">
      <formula>$W$34=""</formula>
    </cfRule>
  </conditionalFormatting>
  <conditionalFormatting sqref="V70:AC70">
    <cfRule type="expression" dxfId="428" priority="3">
      <formula>$W$34=""</formula>
    </cfRule>
  </conditionalFormatting>
  <conditionalFormatting sqref="V108:AI109">
    <cfRule type="expression" dxfId="427" priority="123" stopIfTrue="1">
      <formula>OR($V$108="",$X$108="",$Z$108="",$AB$108="",$AD$108="",$AF$108="",$AH$108="")</formula>
    </cfRule>
  </conditionalFormatting>
  <conditionalFormatting sqref="X48">
    <cfRule type="expression" dxfId="426" priority="54" stopIfTrue="1">
      <formula>X48=""</formula>
    </cfRule>
  </conditionalFormatting>
  <conditionalFormatting sqref="X43:AB43">
    <cfRule type="expression" dxfId="425" priority="97">
      <formula>$X$43=""</formula>
    </cfRule>
  </conditionalFormatting>
  <conditionalFormatting sqref="X93:AF94">
    <cfRule type="expression" dxfId="424" priority="83">
      <formula>$AW$94=0</formula>
    </cfRule>
  </conditionalFormatting>
  <conditionalFormatting sqref="X95:AF96">
    <cfRule type="expression" dxfId="423" priority="80">
      <formula>$AW$96=0</formula>
    </cfRule>
  </conditionalFormatting>
  <conditionalFormatting sqref="Z87">
    <cfRule type="expression" dxfId="422" priority="133">
      <formula>AND($AV$88="07",$Z$87="")</formula>
    </cfRule>
  </conditionalFormatting>
  <conditionalFormatting sqref="Z89:AD90">
    <cfRule type="expression" dxfId="421" priority="95">
      <formula>$Z$89=""</formula>
    </cfRule>
  </conditionalFormatting>
  <conditionalFormatting sqref="Z87:AK88">
    <cfRule type="expression" dxfId="420" priority="134">
      <formula>$AV$88&lt;"07"</formula>
    </cfRule>
  </conditionalFormatting>
  <conditionalFormatting sqref="AA39">
    <cfRule type="expression" dxfId="419" priority="101">
      <formula>$AA$39=""</formula>
    </cfRule>
  </conditionalFormatting>
  <conditionalFormatting sqref="AB64">
    <cfRule type="expression" dxfId="418" priority="32">
      <formula>$AV$64="NG"</formula>
    </cfRule>
  </conditionalFormatting>
  <conditionalFormatting sqref="AB18:AT19">
    <cfRule type="expression" dxfId="417" priority="55" stopIfTrue="1">
      <formula>$AV$13=0</formula>
    </cfRule>
  </conditionalFormatting>
  <conditionalFormatting sqref="AB67:AT68">
    <cfRule type="expression" dxfId="416" priority="12">
      <formula>$AV$67="NG"</formula>
    </cfRule>
  </conditionalFormatting>
  <conditionalFormatting sqref="AD36">
    <cfRule type="expression" dxfId="415" priority="43">
      <formula>AD36=""</formula>
    </cfRule>
  </conditionalFormatting>
  <conditionalFormatting sqref="AD53">
    <cfRule type="expression" dxfId="414" priority="35">
      <formula>AD53=""</formula>
    </cfRule>
  </conditionalFormatting>
  <conditionalFormatting sqref="AD72">
    <cfRule type="expression" dxfId="413" priority="21">
      <formula>AD72=""</formula>
    </cfRule>
  </conditionalFormatting>
  <conditionalFormatting sqref="AD34:AE34">
    <cfRule type="expression" dxfId="412" priority="11">
      <formula>$AE$34=""</formula>
    </cfRule>
  </conditionalFormatting>
  <conditionalFormatting sqref="AD51:AE51">
    <cfRule type="expression" dxfId="411" priority="8">
      <formula>$AE$34=""</formula>
    </cfRule>
  </conditionalFormatting>
  <conditionalFormatting sqref="AD70:AE70">
    <cfRule type="expression" dxfId="410" priority="5">
      <formula>$AE$34=""</formula>
    </cfRule>
  </conditionalFormatting>
  <conditionalFormatting sqref="AD97:AM98">
    <cfRule type="expression" dxfId="409" priority="76">
      <formula>$AV$97&lt;&gt;3</formula>
    </cfRule>
  </conditionalFormatting>
  <conditionalFormatting sqref="AD99:AM100">
    <cfRule type="expression" dxfId="408" priority="75">
      <formula>$AV$99&lt;&gt;2</formula>
    </cfRule>
  </conditionalFormatting>
  <conditionalFormatting sqref="AE118">
    <cfRule type="expression" dxfId="407" priority="64">
      <formula>$AE$118=""</formula>
    </cfRule>
  </conditionalFormatting>
  <conditionalFormatting sqref="AE120">
    <cfRule type="expression" dxfId="406" priority="107">
      <formula>$AE$120=""</formula>
    </cfRule>
  </conditionalFormatting>
  <conditionalFormatting sqref="AE122">
    <cfRule type="expression" dxfId="405" priority="58">
      <formula>$AE$122=""</formula>
    </cfRule>
  </conditionalFormatting>
  <conditionalFormatting sqref="AE123">
    <cfRule type="expression" dxfId="404" priority="117" stopIfTrue="1">
      <formula>AE123=""</formula>
    </cfRule>
  </conditionalFormatting>
  <conditionalFormatting sqref="AE125">
    <cfRule type="expression" dxfId="403" priority="61">
      <formula>$AE$125=""</formula>
    </cfRule>
  </conditionalFormatting>
  <conditionalFormatting sqref="AE127">
    <cfRule type="expression" dxfId="402" priority="91">
      <formula>$AE$127=""</formula>
    </cfRule>
  </conditionalFormatting>
  <conditionalFormatting sqref="AE31:AT33">
    <cfRule type="expression" dxfId="401" priority="13">
      <formula>$AV$32="NG"</formula>
    </cfRule>
  </conditionalFormatting>
  <conditionalFormatting sqref="AF97 AJ97">
    <cfRule type="expression" dxfId="400" priority="78">
      <formula>OR($AF$97="",$AJ$97="")</formula>
    </cfRule>
  </conditionalFormatting>
  <conditionalFormatting sqref="AF99 AJ99">
    <cfRule type="expression" dxfId="399" priority="77">
      <formula>OR($AF$99="",$AJ$99="")</formula>
    </cfRule>
  </conditionalFormatting>
  <conditionalFormatting sqref="AG89:AJ90">
    <cfRule type="expression" dxfId="398" priority="94">
      <formula>$AG$89=""</formula>
    </cfRule>
  </conditionalFormatting>
  <conditionalFormatting sqref="AG48:AL48">
    <cfRule type="expression" dxfId="397" priority="130" stopIfTrue="1">
      <formula>$AV$48=0</formula>
    </cfRule>
  </conditionalFormatting>
  <conditionalFormatting sqref="AI91">
    <cfRule type="expression" dxfId="396" priority="90" stopIfTrue="1">
      <formula>OR($AV$91=TRUE,$AW$91=TRUE,$AX$91=TRUE,$AY$91=TRUE,$AZ$91=TRUE,$BA$91=TRUE,$BB$91=TRUE,$BC$91=TRUE)</formula>
    </cfRule>
  </conditionalFormatting>
  <conditionalFormatting sqref="AI49:AJ50">
    <cfRule type="expression" dxfId="395" priority="116">
      <formula>$AI$49=""</formula>
    </cfRule>
  </conditionalFormatting>
  <conditionalFormatting sqref="AI85:AJ86 AM85:AN86 AQ85:AR86">
    <cfRule type="expression" dxfId="394" priority="85">
      <formula>OR($AI$85="",$AM$85="",$AQ$85="")</formula>
    </cfRule>
  </conditionalFormatting>
  <conditionalFormatting sqref="AK118:AN118">
    <cfRule type="expression" dxfId="393" priority="63">
      <formula>$AK$118=""</formula>
    </cfRule>
  </conditionalFormatting>
  <conditionalFormatting sqref="AK122:AN122">
    <cfRule type="expression" dxfId="392" priority="57">
      <formula>$AK$122=""</formula>
    </cfRule>
  </conditionalFormatting>
  <conditionalFormatting sqref="AK125:AN125">
    <cfRule type="expression" dxfId="391" priority="60">
      <formula>$AK$125=""</formula>
    </cfRule>
  </conditionalFormatting>
  <conditionalFormatting sqref="AL43:AT43">
    <cfRule type="expression" dxfId="390" priority="88">
      <formula>AND($AL$43="",$AV$13&lt;&gt;2)</formula>
    </cfRule>
  </conditionalFormatting>
  <conditionalFormatting sqref="AM49:AN50">
    <cfRule type="expression" dxfId="389" priority="115">
      <formula>$AM$49=""</formula>
    </cfRule>
  </conditionalFormatting>
  <conditionalFormatting sqref="AM93:AT94">
    <cfRule type="expression" dxfId="388" priority="82">
      <formula>$AX$94=0</formula>
    </cfRule>
  </conditionalFormatting>
  <conditionalFormatting sqref="AM95:AT96">
    <cfRule type="expression" dxfId="387" priority="79">
      <formula>$AX$96=0</formula>
    </cfRule>
  </conditionalFormatting>
  <conditionalFormatting sqref="AN97:AQ98">
    <cfRule type="expression" dxfId="386" priority="1">
      <formula>AND($AW$96&lt;2,$AX$96&lt;2)</formula>
    </cfRule>
  </conditionalFormatting>
  <conditionalFormatting sqref="AN39:AR39">
    <cfRule type="expression" dxfId="385" priority="100">
      <formula>$AN$39=""</formula>
    </cfRule>
  </conditionalFormatting>
  <conditionalFormatting sqref="AO104:AT105">
    <cfRule type="expression" dxfId="384" priority="124" stopIfTrue="1">
      <formula>$AV$105=0</formula>
    </cfRule>
  </conditionalFormatting>
  <conditionalFormatting sqref="AP89:AS90">
    <cfRule type="expression" dxfId="383" priority="93">
      <formula>$AP$89=""</formula>
    </cfRule>
  </conditionalFormatting>
  <conditionalFormatting sqref="AP118:AT118">
    <cfRule type="expression" dxfId="382" priority="62">
      <formula>$AP$118=""</formula>
    </cfRule>
  </conditionalFormatting>
  <conditionalFormatting sqref="AP122:AT122">
    <cfRule type="expression" dxfId="381" priority="56">
      <formula>$AP$122=""</formula>
    </cfRule>
  </conditionalFormatting>
  <conditionalFormatting sqref="AP125:AT125">
    <cfRule type="expression" dxfId="380" priority="59">
      <formula>$AP$125=""</formula>
    </cfRule>
  </conditionalFormatting>
  <conditionalFormatting sqref="AQ49:AR50">
    <cfRule type="expression" dxfId="379" priority="114">
      <formula>$AQ$49=""</formula>
    </cfRule>
  </conditionalFormatting>
  <dataValidations count="114">
    <dataValidation type="custom" imeMode="fullKatakana" allowBlank="1" showInputMessage="1" showErrorMessage="1" errorTitle="カナ入力" error="カナで入力してください。" sqref="I66:AA66" xr:uid="{00000000-0002-0000-0000-000000000000}">
      <formula1>AND(I66=PHONETIC(I66), LEN(I66)*2=LENB(I66))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xr:uid="{00000000-0002-0000-0000-000001000000}">
      <formula1>AND(COUNT(INDEX(FIND(MID(UPPER(I64)&amp;REPT("*",20),ROW($1:$20),1),"ABCDEFGHIJKLMNOPQRSTUVWXYZ1234567890.,  "),))=LEN(I64),LEN(I64)&lt;21)</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xr:uid="{00000000-0002-0000-0000-000002000000}">
      <formula1>AND(COUNT(INDEX(FIND(MID(UPPER(AB92)&amp;REPT("*",25),ROW($1:$25),1),"1234567890,  "),))=LEN(AB92),LEN(AB92)&lt;26)</formula1>
    </dataValidation>
    <dataValidation type="custom" imeMode="disabled" allowBlank="1" showInputMessage="1" showErrorMessage="1" sqref="I56:X57 AE56:AT57" xr:uid="{00000000-0002-0000-0000-000003000000}">
      <formula1>AND(COUNT(INDEX(FIND(MID(UPPER(I56)&amp;REPT("*",13),ROW($1:$13),1),"1234567890-"),))=LEN(I56),LENB(I56)&lt;14)</formula1>
    </dataValidation>
    <dataValidation allowBlank="1" showInputMessage="1" showErrorMessage="1" promptTitle="下記の決済手段をお申込の場合は入力ください。" prompt="・Alipay_x000a_・WeChat Pay_x000a_・銀聯" sqref="I74:AT75 I83:AT84" xr:uid="{00000000-0002-0000-0000-000004000000}"/>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xr:uid="{00000000-0002-0000-0000-000005000000}">
      <formula1>20</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xr:uid="{00000000-0002-0000-0000-000006000000}"/>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xr:uid="{00000000-0002-0000-0000-000007000000}">
      <formula1>32</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xr:uid="{00000000-0002-0000-0000-000008000000}">
      <formula1>20</formula1>
    </dataValidation>
    <dataValidation type="list" imeMode="hiragana" allowBlank="1" showErrorMessage="1" promptTitle="会社所在地" prompt="都道府県名からご記入下さい" sqref="I36:M37 I53:M54 I72:M73" xr:uid="{00000000-0002-0000-0000-000009000000}">
      <formula1>■都道府県</formula1>
    </dataValidation>
    <dataValidation imeMode="hiragana" allowBlank="1" showInputMessage="1" showErrorMessage="1" promptTitle="下記の決済手段をお申込の場合は入力ください。" prompt="・Alipay_x000a_・WeChat Pay_x000a_・銀聯" sqref="I31" xr:uid="{00000000-0002-0000-0000-00000A000000}"/>
    <dataValidation type="custom" imeMode="hiragana" allowBlank="1" showInputMessage="1" showErrorMessage="1" errorTitle="入力文字制限" error="スペースは入力できません。" sqref="I49:T50" xr:uid="{00000000-0002-0000-0000-00000B000000}">
      <formula1>LEN(SUBSTITUTE(SUBSTITUTE(I49,"　","")," ",""))=LEN(I49)</formula1>
    </dataValidation>
    <dataValidation type="custom" imeMode="fullKatakana" allowBlank="1" showInputMessage="1" showErrorMessage="1" errorTitle="カナ入力" error="カナで入力してください。_x000a_スペースは入力できません。" sqref="I48:T48" xr:uid="{00000000-0002-0000-0000-00000C000000}">
      <formula1>AND(I48=PHONETIC(I48), LEN(I48)*2=LENB(I48),LEN(SUBSTITUTE(SUBSTITUTE(I48,"　","")," ",""))=LEN(I48))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xr:uid="{00000000-0002-0000-0000-00000D000000}">
      <formula1>AND(ISNUMBER(VALUE(AP119)),LENB(AP119)&lt;5,ISERROR(FIND("NG",AV119)))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xr:uid="{00000000-0002-0000-0000-00000E000000}">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xr:uid="{00000000-0002-0000-0000-00000F000000}">
      <formula1>AND(ISNUMBER(VALUE(AE119)),LENB(AE119)&lt;6,ISERROR(FIND("NG",AV119)))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xr:uid="{00000000-0002-0000-0000-000010000000}">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xr:uid="{00000000-0002-0000-0000-000011000000}">
      <formula1>AND(ISNUMBER(VALUE(AP118)),LENB(AP118)&lt;5,ISERROR(FIND("NG",AV118)))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xr:uid="{00000000-0002-0000-0000-000012000000}">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xr:uid="{00000000-0002-0000-0000-000013000000}">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xr:uid="{00000000-0002-0000-0000-000014000000}">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xr:uid="{00000000-0002-0000-0000-000015000000}">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xr:uid="{00000000-0002-0000-0000-000016000000}">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xr:uid="{00000000-0002-0000-0000-000017000000}">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xr:uid="{00000000-0002-0000-0000-000018000000}">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T38:X38 T55:X55 T76:X76" xr:uid="{00000000-0002-0000-0000-000019000000}">
      <formula1>AND(ISNUMBER(VALUE(T38)),LENB(T38)&lt;5,ISERROR(FIND("NG",AV38)))</formula1>
    </dataValidation>
    <dataValidation allowBlank="1" showInputMessage="1" showErrorMessage="1" promptTitle="FAX番号" prompt="FAXが無い場合は、ハイフン等を入力せず空欄にしてください。" sqref="AJ38 AO38 AJ55 AO55 AJ119 AO119 AJ126 AO126" xr:uid="{00000000-0002-0000-0000-00001A000000}"/>
    <dataValidation type="list" allowBlank="1" showInputMessage="1" showErrorMessage="1" sqref="AL88:AT88" xr:uid="{00000000-0002-0000-0000-00001B000000}">
      <formula1>$AZ$2:$AZ$18</formula1>
    </dataValidation>
    <dataValidation type="list" allowBlank="1" showInputMessage="1" showErrorMessage="1" sqref="L97:U98" xr:uid="{00000000-0002-0000-0000-00001C000000}">
      <formula1>カード情報保持状況</formula1>
    </dataValidation>
    <dataValidation type="list" allowBlank="1" showInputMessage="1" showErrorMessage="1" sqref="L99:U100" xr:uid="{00000000-0002-0000-0000-00001D000000}">
      <formula1>PCIDSS準拠状況</formula1>
    </dataValidation>
    <dataValidation imeMode="disabled" allowBlank="1" showInputMessage="1" showErrorMessage="1" sqref="X43:AB43 AN97" xr:uid="{00000000-0002-0000-0000-00001E000000}"/>
    <dataValidation imeMode="hiragana" allowBlank="1" showInputMessage="1" showErrorMessage="1" promptTitle="業種" prompt="決済の対象となる取扱い商品を出来るだけ具体的にご記入下さい。" sqref="I85" xr:uid="{00000000-0002-0000-0000-00001F000000}"/>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xr:uid="{00000000-0002-0000-0000-000020000000}">
      <formula1>LENB(I81)&lt;=200</formula1>
    </dataValidation>
    <dataValidation operator="greaterThanOrEqual" allowBlank="1" showInputMessage="1" showErrorMessage="1" sqref="AO95 AS95 AO93 AS93 AM93:AN96 AR93:AR100 AQ93:AQ96" xr:uid="{00000000-0002-0000-0000-000021000000}"/>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xr:uid="{00000000-0002-0000-0000-000022000000}"/>
    <dataValidation type="custom" imeMode="disabled" allowBlank="1" showInputMessage="1" showErrorMessage="1" errorTitle="桁数チェック" error="半角英数字128文字以内で入力してください。" sqref="X44" xr:uid="{00000000-0002-0000-0000-000023000000}">
      <formula1>LENB(AL6)&lt;129</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xr:uid="{00000000-0002-0000-0000-000024000000}">
      <formula1>13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xr:uid="{00000000-0002-0000-0000-000025000000}">
      <formula1>ISERROR(FIND("NG",BF111))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xr:uid="{00000000-0002-0000-0000-000026000000}">
      <formula1>ISERROR(FIND("NG",BE110))</formula1>
    </dataValidation>
    <dataValidation type="whole" imeMode="halfAlpha" operator="greaterThanOrEqual" allowBlank="1" showInputMessage="1" showErrorMessage="1" errorTitle="月間カード取扱金額（目安）" error="半角数字でご入力ください" sqref="I89:R90" xr:uid="{00000000-0002-0000-0000-000027000000}">
      <formula1>1</formula1>
    </dataValidation>
    <dataValidation type="whole" imeMode="halfAlpha" operator="greaterThanOrEqual" allowBlank="1" showInputMessage="1" showErrorMessage="1" errorTitle="平均購入額" error="半角数字でご入力ください" sqref="AP89:AS90" xr:uid="{00000000-0002-0000-0000-000028000000}">
      <formula1>1</formula1>
    </dataValidation>
    <dataValidation type="whole" imeMode="halfAlpha" operator="greaterThanOrEqual" allowBlank="1" showInputMessage="1" showErrorMessage="1" errorTitle="商品価格帯" error="半角数字でご入力ください" sqref="Z89:AD90 AG89:AJ90" xr:uid="{00000000-0002-0000-0000-000029000000}">
      <formula1>1</formula1>
    </dataValidation>
    <dataValidation imeMode="hiragana" allowBlank="1" showInputMessage="1" showErrorMessage="1" promptTitle="売上報告担当" prompt="収納明細書や請求書をお送りする先となります。" sqref="I125:Y127" xr:uid="{00000000-0002-0000-0000-00002A000000}"/>
    <dataValidation imeMode="hiragana" allowBlank="1" showInputMessage="1" showErrorMessage="1" promptTitle="運用担当" prompt="契約手続き完了のご依頼、決済機関からの問い合わせのご連絡、メンテナンスのご案内などをお送りする先となります。" sqref="I118:Y120" xr:uid="{00000000-0002-0000-0000-00002B000000}"/>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xr:uid="{00000000-0002-0000-0000-00002C000000}">
      <formula1>■販売形態</formula1>
    </dataValidation>
    <dataValidation imeMode="hiragana" allowBlank="1" showInputMessage="1" showErrorMessage="1" promptTitle="部署名" prompt="特に無い場合には、ハイフン等を入力せず空欄にしてください。" sqref="AE117:AT117 AE124:AT124" xr:uid="{00000000-0002-0000-0000-00002D000000}"/>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xr:uid="{00000000-0002-0000-0000-00002E000000}">
      <formula1>LENB(A4)&lt;129</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 sqref="I77:AT78" xr:uid="{00000000-0002-0000-0000-00002F000000}">
      <formula1>LENB(I77)&lt;129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xr:uid="{00000000-0002-0000-0000-000030000000}">
      <formula1>ISERROR(FIND("NG",AZ113))</formula1>
    </dataValidation>
    <dataValidation type="custom" imeMode="hiragana" allowBlank="1" showErrorMessage="1" errorTitle="入力文字制限" error="スペースは入力できません。" promptTitle="会社所在地" prompt="都道府県名からご記入下さい" sqref="N36:AT37 N53:AT54 N72:AT73" xr:uid="{00000000-0002-0000-0000-000031000000}">
      <formula1>LEN(SUBSTITUTE(SUBSTITUTE(N36,"　","")," ",""))=LEN(N36)</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xr:uid="{00000000-0002-0000-0000-000032000000}">
      <formula1>0</formula1>
      <formula2>999999999</formula2>
    </dataValidation>
    <dataValidation type="list" allowBlank="1" showInputMessage="1" showErrorMessage="1" sqref="O79:P80 I79:J80" xr:uid="{00000000-0002-0000-0000-000033000000}">
      <formula1>■時間</formula1>
    </dataValidation>
    <dataValidation type="list" allowBlank="1" showInputMessage="1" showErrorMessage="1" sqref="R79:S80 L79:M80" xr:uid="{00000000-0002-0000-0000-000034000000}">
      <formula1>■分</formula1>
    </dataValidation>
    <dataValidation imeMode="disabled" allowBlank="1" showInputMessage="1" showErrorMessage="1" promptTitle="事業展開店舗数" prompt="事業全体における展開店舗数をご記入ください" sqref="I43:N43" xr:uid="{00000000-0002-0000-0000-000035000000}"/>
    <dataValidation type="custom" imeMode="disabled" allowBlank="1" showInputMessage="1" showErrorMessage="1" errorTitle="桁数チェック" error="半角英数字128文字以内で入力してください。" sqref="I46:L47" xr:uid="{00000000-0002-0000-0000-000036000000}">
      <formula1>LENB(A5)&lt;129</formula1>
    </dataValidation>
    <dataValidation type="custom" imeMode="disabled" allowBlank="1" showInputMessage="1" showErrorMessage="1" errorTitle="桁数チェック" error="半角英数字128文字以内で入力してください。" sqref="I44:W45 X45:AT45" xr:uid="{00000000-0002-0000-0000-000037000000}">
      <formula1>LENB(A6)&lt;129</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xr:uid="{00000000-0002-0000-0000-000038000000}">
      <formula1>ISERROR(FIND("NG",BI104))</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xr:uid="{00000000-0002-0000-0000-000039000000}">
      <formula1>ISERROR(FIND("NG",AW123))</formula1>
    </dataValidation>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xr:uid="{00000000-0002-0000-0000-00003A000000}">
      <formula1>#REF!</formula1>
    </dataValidation>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xr:uid="{00000000-0002-0000-0000-00003B000000}"/>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xr:uid="{00000000-0002-0000-0000-00003C000000}"/>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xr:uid="{00000000-0002-0000-0000-00003D000000}"/>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xr:uid="{00000000-0002-0000-0000-00003E000000}"/>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xr:uid="{00000000-0002-0000-0000-00003F000000}"/>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xr:uid="{00000000-0002-0000-0000-000040000000}">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xr:uid="{00000000-0002-0000-0000-000041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xr:uid="{00000000-0002-0000-0000-000042000000}">
      <formula1>2012</formula1>
      <formula2>2020</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xr:uid="{00000000-0002-0000-0000-000043000000}">
      <formula1>0</formula1>
      <formula2>9999999999999</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xr:uid="{00000000-0002-0000-0000-000044000000}">
      <formula1>0</formula1>
      <formula2>99999999999</formula2>
    </dataValidation>
    <dataValidation type="textLength" imeMode="halfAlpha" allowBlank="1" showInputMessage="1" showErrorMessage="1" sqref="R65458 R130994 R196530 R262066 R327602 R393138 R458674 R524210 R589746 R655282 R720818 R786354 R851890 R917426 R982962" xr:uid="{00000000-0002-0000-0000-000045000000}">
      <formula1>3</formula1>
      <formula2>3</formula2>
    </dataValidation>
    <dataValidation type="textLength" imeMode="halfAlpha" allowBlank="1" showInputMessage="1" showErrorMessage="1" sqref="I65458 I130994 I196530 I262066 I327602 I393138 I458674 I524210 I589746 I655282 I720818 I786354 I851890 I917426 I982962" xr:uid="{00000000-0002-0000-0000-000046000000}">
      <formula1>5</formula1>
      <formula2>5</formula2>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xr:uid="{00000000-0002-0000-0000-000047000000}">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xr:uid="{00000000-0002-0000-0000-000048000000}">
      <formula1>25</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xr:uid="{00000000-0002-0000-0000-000049000000}">
      <formula1>1000</formula1>
      <formula2>2020</formula2>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xr:uid="{00000000-0002-0000-0000-00004A000000}">
      <formula1>3</formula1>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xr:uid="{00000000-0002-0000-0000-00004B000000}">
      <formula1>4</formula1>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xr:uid="{00000000-0002-0000-0000-00004C000000}">
      <formula1>2014</formula1>
      <formula2>2020</formula2>
    </dataValidation>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xr:uid="{00000000-0002-0000-0000-00004D0000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xr:uid="{00000000-0002-0000-0000-00004E000000}"/>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xr:uid="{00000000-0002-0000-0000-00004F000000}"/>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xr:uid="{00000000-0002-0000-0000-000050000000}"/>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xr:uid="{00000000-0002-0000-0000-000051000000}">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xr:uid="{00000000-0002-0000-0000-00005200000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xr:uid="{00000000-0002-0000-0000-000053000000}">
      <formula1>#REF!</formula1>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xr:uid="{00000000-0002-0000-0000-000054000000}"/>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xr:uid="{00000000-0002-0000-0000-000055000000}">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I69" xr:uid="{00000000-0002-0000-0000-000056000000}">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xr:uid="{00000000-0002-0000-0000-000057000000}">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xr:uid="{00000000-0002-0000-0000-000058000000}"/>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xr:uid="{00000000-0002-0000-0000-000059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32:Y983133 I65628:Y65629 I131164:Y131165 I196700:Y196701 I262236:Y262237 I327772:Y327773 I393308:Y393309 I458844:Y458845 I524380:Y524381 I589916:Y589917 I655452:Y655453 I720988:Y720989 I786524:Y786525 I852060:Y852061 I917596:Y917597 I122:Y123" xr:uid="{00000000-0002-0000-0000-00005A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xr:uid="{00000000-0002-0000-0000-00005B000000}"/>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xr:uid="{00000000-0002-0000-0000-00005C000000}"/>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xr:uid="{00000000-0002-0000-0000-00005D000000}">
      <formula1>$AZ$2:$AZ$9</formula1>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xr:uid="{00000000-0002-0000-0000-00005E000000}">
      <formula1>2014</formula1>
      <formula2>2099</formula2>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xr:uid="{00000000-0002-0000-0000-00005F000000}">
      <formula1>1000</formula1>
      <formula2>2099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xr:uid="{00000000-0002-0000-0000-000060000000}">
      <formula1>7</formula1>
    </dataValidation>
    <dataValidation type="whole" imeMode="disabled" allowBlank="1" showInputMessage="1" showErrorMessage="1" sqref="AA39:AE39" xr:uid="{00000000-0002-0000-0000-000061000000}">
      <formula1>0</formula1>
      <formula2>99999999</formula2>
    </dataValidation>
    <dataValidation type="whole" imeMode="disabled" allowBlank="1" showInputMessage="1" showErrorMessage="1" promptTitle="年商" prompt="設立初年度などは『0』とご入力下さい。" sqref="AN39:AR39" xr:uid="{00000000-0002-0000-0000-000062000000}">
      <formula1>0</formula1>
      <formula2>999999999</formula2>
    </dataValidation>
    <dataValidation type="custom" imeMode="hiragana" allowBlank="1" showInputMessage="1" showErrorMessage="1" errorTitle="文字数制限がございます" error="200文字以内でご記入下さい。" sqref="I40:AT41" xr:uid="{00000000-0002-0000-0000-000063000000}">
      <formula1>LENB(I40)&lt;=200</formula1>
    </dataValidation>
    <dataValidation type="whole" imeMode="disabled" allowBlank="1" showInputMessage="1" showErrorMessage="1" sqref="N39:O39 AM49:AN50 AQ92 AM85:AN86 AJ97:AK100" xr:uid="{00000000-0002-0000-0000-000064000000}">
      <formula1>1</formula1>
      <formula2>12</formula2>
    </dataValidation>
    <dataValidation type="whole" imeMode="disabled" allowBlank="1" showInputMessage="1" showErrorMessage="1" sqref="AQ49:AR50 AS92 AQ85:AR86 AN99:AO100" xr:uid="{00000000-0002-0000-0000-000065000000}">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xr:uid="{00000000-0002-0000-0000-000066000000}">
      <formula1>ISERROR(FIND("・",I110))</formula1>
    </dataValidation>
    <dataValidation type="custom" imeMode="fullKatakana" allowBlank="1" showInputMessage="1" showErrorMessage="1" errorTitle="カナ" error="カナで入力して下さい" sqref="I27:AT27" xr:uid="{00000000-0002-0000-0000-000067000000}">
      <formula1>AND(I27=PHONETIC(I27), LEN(I27)*2=LENB(I27),LEN(I27)&lt;61)</formula1>
    </dataValidation>
    <dataValidation type="custom" imeMode="fullKatakana" allowBlank="1" showInputMessage="1" showErrorMessage="1" errorTitle="カナ入力" error="カナで入力して下さい" sqref="I60:AT60 I117:Y117 I124:Y124 I121:Y121" xr:uid="{00000000-0002-0000-0000-000068000000}">
      <formula1>AND(I60=PHONETIC(I60), LEN(I60)*2=LENB(I60))</formula1>
    </dataValidation>
    <dataValidation type="textLength" imeMode="disabled" operator="equal" allowBlank="1" showInputMessage="1" showErrorMessage="1" sqref="J52:K52 J129:K129 J35:K35 J71:K71" xr:uid="{00000000-0002-0000-0000-000069000000}">
      <formula1>3</formula1>
    </dataValidation>
    <dataValidation type="textLength" imeMode="disabled" operator="equal" allowBlank="1" showInputMessage="1" showErrorMessage="1" sqref="M52:N52 M129:N129 M35:N35 M71:N71" xr:uid="{00000000-0002-0000-0000-00006A000000}">
      <formula1>4</formula1>
    </dataValidation>
    <dataValidation type="whole" imeMode="disabled" allowBlank="1" showInputMessage="1" showErrorMessage="1" sqref="K39:L39 AN92:AO92" xr:uid="{00000000-0002-0000-0000-00006B000000}">
      <formula1>1000</formula1>
      <formula2>2020</formula2>
    </dataValidation>
    <dataValidation type="whole" imeMode="disabled" allowBlank="1" showInputMessage="1" showErrorMessage="1" sqref="AI49:AJ50 AI85:AJ86 AF97:AG100" xr:uid="{00000000-0002-0000-0000-00006C000000}">
      <formula1>1900</formula1>
      <formula2>2020</formula2>
    </dataValidation>
    <dataValidation type="whole" imeMode="disabled" allowBlank="1" showInputMessage="1" showErrorMessage="1" sqref="I106:P107 V106:AA107 V108:AI109" xr:uid="{00000000-0002-0000-0000-00006D000000}">
      <formula1>0</formula1>
      <formula2>9</formula2>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xr:uid="{00000000-0002-0000-0000-00006E000000}">
      <formula1>45</formula1>
    </dataValidation>
    <dataValidation imeMode="fullKatakana" allowBlank="1" showInputMessage="1" errorTitle="カナ" error="カナで入力して下さい" sqref="N34 N51 N70" xr:uid="{00000000-0002-0000-0000-00006F000000}"/>
    <dataValidation imeMode="fullKatakana" allowBlank="1" errorTitle="フリガナ" error="カナで入力してください。_x000a_スペースは入力できません。" promptTitle="フリガナ" prompt="フリガナには数字・記号を入れずカナのみご記入ください。" sqref="AL34 AD34 V34 AL51 AD51 V51 AL70 AD70 V70" xr:uid="{00000000-0002-0000-0000-000070000000}"/>
    <dataValidation type="custom" imeMode="fullKatakana" allowBlank="1" showErrorMessage="1" errorTitle="フリガナ" error="スペースは入力できません。" promptTitle="フリガナ" prompt="フリガナには数字・記号を入れずカナのみご記入ください。" sqref="AM34:AT34 AE34:AK34 W34:AC34 O34:U34 AM51:AT51 AE51:AK51 W51:AC51 O51:U51 AM70:AT70 AE70:AK70 W70:AC70 O70:U70" xr:uid="{00000000-0002-0000-0000-000071000000}">
      <formula1>AND(LEN(SUBSTITUTE(SUBSTITUTE(O34,"　","")," ",""))=LEN(O34))</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7680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7680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8</xdr:col>
                    <xdr:colOff>165100</xdr:colOff>
                    <xdr:row>16</xdr:row>
                    <xdr:rowOff>88900</xdr:rowOff>
                  </from>
                  <to>
                    <xdr:col>10</xdr:col>
                    <xdr:colOff>107950</xdr:colOff>
                    <xdr:row>16</xdr:row>
                    <xdr:rowOff>279400</xdr:rowOff>
                  </to>
                </anchor>
              </controlPr>
            </control>
          </mc:Choice>
        </mc:AlternateContent>
        <mc:AlternateContent xmlns:mc="http://schemas.openxmlformats.org/markup-compatibility/2006">
          <mc:Choice Requires="x14">
            <control shapeId="76805"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76806"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76807"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76808"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76809"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76810"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76811"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76812"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76813"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76818"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76819" r:id="rId22" name="Option Button 1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76820" r:id="rId23" name="Option Button 2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76821" r:id="rId24" name="Option Button 2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76822" r:id="rId25" name="Option Button 2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76823" r:id="rId26" name="Option Button 2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76833" r:id="rId36" name="Group Box 33">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76836" r:id="rId39" name="Option Button 36">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76837" r:id="rId40" name="Option Button 37">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76838" r:id="rId41" name="Group Box 38">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76839" r:id="rId42" name="Option Button 39">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76840" r:id="rId43" name="Option Button 40">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76841" r:id="rId44" name="Group Box 41">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76842" r:id="rId45" name="Option Button 42">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76843" r:id="rId46" name="Option Button 43">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76844" r:id="rId47" name="Option Button 44">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76845" r:id="rId48" name="Option Button 45">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76846" r:id="rId49" name="Option Button 46">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76847" r:id="rId50" name="Option Button 47">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76848" r:id="rId51" name="Option Button 48">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76849" r:id="rId52" name="Option Button 49">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76850" r:id="rId53" name="Group Box 50">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76851" r:id="rId54" name="Group Box 51">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76852" r:id="rId55" name="Group Box 52">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76853" r:id="rId56" name="Group Box 53">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76854" r:id="rId57" name="Option Button 54">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76855" r:id="rId58" name="Option Button 55">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76856" r:id="rId59" name="Group Box 56">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76857" r:id="rId60" name="Option Button 57">
              <controlPr defaultSize="0" autoFill="0" autoLine="0" autoPict="0">
                <anchor moveWithCells="1">
                  <from>
                    <xdr:col>28</xdr:col>
                    <xdr:colOff>107950</xdr:colOff>
                    <xdr:row>17</xdr:row>
                    <xdr:rowOff>127000</xdr:rowOff>
                  </from>
                  <to>
                    <xdr:col>31</xdr:col>
                    <xdr:colOff>165100</xdr:colOff>
                    <xdr:row>18</xdr:row>
                    <xdr:rowOff>95250</xdr:rowOff>
                  </to>
                </anchor>
              </controlPr>
            </control>
          </mc:Choice>
        </mc:AlternateContent>
        <mc:AlternateContent xmlns:mc="http://schemas.openxmlformats.org/markup-compatibility/2006">
          <mc:Choice Requires="x14">
            <control shapeId="76858" r:id="rId61" name="Option Button 58">
              <controlPr defaultSize="0" autoFill="0" autoLine="0" autoPict="0">
                <anchor moveWithCells="1">
                  <from>
                    <xdr:col>35</xdr:col>
                    <xdr:colOff>114300</xdr:colOff>
                    <xdr:row>17</xdr:row>
                    <xdr:rowOff>127000</xdr:rowOff>
                  </from>
                  <to>
                    <xdr:col>38</xdr:col>
                    <xdr:colOff>171450</xdr:colOff>
                    <xdr:row>18</xdr:row>
                    <xdr:rowOff>95250</xdr:rowOff>
                  </to>
                </anchor>
              </controlPr>
            </control>
          </mc:Choice>
        </mc:AlternateContent>
        <mc:AlternateContent xmlns:mc="http://schemas.openxmlformats.org/markup-compatibility/2006">
          <mc:Choice Requires="x14">
            <control shapeId="76859" r:id="rId62" name="Group Box 59">
              <controlPr defaultSize="0" autoFill="0" autoPict="0">
                <anchor moveWithCells="1">
                  <from>
                    <xdr:col>8</xdr:col>
                    <xdr:colOff>12700</xdr:colOff>
                    <xdr:row>12</xdr:row>
                    <xdr:rowOff>50800</xdr:rowOff>
                  </from>
                  <to>
                    <xdr:col>14</xdr:col>
                    <xdr:colOff>247650</xdr:colOff>
                    <xdr:row>26</xdr:row>
                    <xdr:rowOff>19050</xdr:rowOff>
                  </to>
                </anchor>
              </controlPr>
            </control>
          </mc:Choice>
        </mc:AlternateContent>
        <mc:AlternateContent xmlns:mc="http://schemas.openxmlformats.org/markup-compatibility/2006">
          <mc:Choice Requires="x14">
            <control shapeId="76860" r:id="rId63" name="Option Button 60">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76861" r:id="rId64" name="Option Button 61">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76862" r:id="rId65" name="Group Box 62">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76863" r:id="rId66" name="Group Box 63">
              <controlPr defaultSize="0" autoFill="0" autoPict="0">
                <anchor moveWithCells="1">
                  <from>
                    <xdr:col>9</xdr:col>
                    <xdr:colOff>38100</xdr:colOff>
                    <xdr:row>17</xdr:row>
                    <xdr:rowOff>19050</xdr:rowOff>
                  </from>
                  <to>
                    <xdr:col>24</xdr:col>
                    <xdr:colOff>76200</xdr:colOff>
                    <xdr:row>18</xdr:row>
                    <xdr:rowOff>203200</xdr:rowOff>
                  </to>
                </anchor>
              </controlPr>
            </control>
          </mc:Choice>
        </mc:AlternateContent>
        <mc:AlternateContent xmlns:mc="http://schemas.openxmlformats.org/markup-compatibility/2006">
          <mc:Choice Requires="x14">
            <control shapeId="76864" r:id="rId67" name="Option Button 64">
              <controlPr defaultSize="0" autoFill="0" autoLine="0" autoPict="0">
                <anchor moveWithCells="1">
                  <from>
                    <xdr:col>9</xdr:col>
                    <xdr:colOff>133350</xdr:colOff>
                    <xdr:row>17</xdr:row>
                    <xdr:rowOff>127000</xdr:rowOff>
                  </from>
                  <to>
                    <xdr:col>12</xdr:col>
                    <xdr:colOff>190500</xdr:colOff>
                    <xdr:row>18</xdr:row>
                    <xdr:rowOff>95250</xdr:rowOff>
                  </to>
                </anchor>
              </controlPr>
            </control>
          </mc:Choice>
        </mc:AlternateContent>
        <mc:AlternateContent xmlns:mc="http://schemas.openxmlformats.org/markup-compatibility/2006">
          <mc:Choice Requires="x14">
            <control shapeId="76865" r:id="rId68" name="Option Button 65">
              <controlPr defaultSize="0" autoFill="0" autoLine="0" autoPict="0">
                <anchor moveWithCells="1">
                  <from>
                    <xdr:col>16</xdr:col>
                    <xdr:colOff>127000</xdr:colOff>
                    <xdr:row>17</xdr:row>
                    <xdr:rowOff>127000</xdr:rowOff>
                  </from>
                  <to>
                    <xdr:col>19</xdr:col>
                    <xdr:colOff>171450</xdr:colOff>
                    <xdr:row>18</xdr:row>
                    <xdr:rowOff>107950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00FF"/>
  </sheetPr>
  <dimension ref="B1:G96"/>
  <sheetViews>
    <sheetView showGridLines="0" zoomScale="85" zoomScaleNormal="85" workbookViewId="0">
      <pane ySplit="6" topLeftCell="A40" activePane="bottomLeft" state="frozen"/>
      <selection pane="bottomLeft" activeCell="A40" sqref="A40"/>
    </sheetView>
  </sheetViews>
  <sheetFormatPr defaultColWidth="9" defaultRowHeight="15"/>
  <cols>
    <col min="1" max="1" width="3.7265625" style="306" customWidth="1"/>
    <col min="2" max="2" width="14.6328125" style="306" customWidth="1"/>
    <col min="3" max="3" width="30.6328125" style="306" customWidth="1"/>
    <col min="4" max="4" width="100.6328125" style="306" customWidth="1"/>
    <col min="5" max="7" width="8.6328125" style="306" hidden="1" customWidth="1"/>
    <col min="8" max="16384" width="9" style="306"/>
  </cols>
  <sheetData>
    <row r="1" spans="2:7">
      <c r="E1" s="873" t="s">
        <v>1073</v>
      </c>
      <c r="F1" s="873" t="s">
        <v>1073</v>
      </c>
      <c r="G1" s="873" t="s">
        <v>1073</v>
      </c>
    </row>
    <row r="2" spans="2:7" ht="26.5">
      <c r="B2" s="874" t="s">
        <v>4150</v>
      </c>
    </row>
    <row r="4" spans="2:7">
      <c r="B4" s="420" t="s">
        <v>1885</v>
      </c>
      <c r="C4" s="910" t="str">
        <f ca="1">IF(G5=0,"該当する業種を一覧の中からご選択ください。",OFFSET(C6,G5,0))</f>
        <v>該当する業種を一覧の中からご選択ください。</v>
      </c>
      <c r="G4" s="1058">
        <f ca="1">IF(G5=0,0,OFFSET(G6,G5,0))</f>
        <v>0</v>
      </c>
    </row>
    <row r="5" spans="2:7">
      <c r="G5" s="931">
        <v>0</v>
      </c>
    </row>
    <row r="6" spans="2:7" ht="30">
      <c r="B6" s="876" t="s">
        <v>1884</v>
      </c>
      <c r="C6" s="877" t="s">
        <v>4151</v>
      </c>
      <c r="D6" s="878" t="s">
        <v>4152</v>
      </c>
      <c r="G6" s="306" t="s">
        <v>4153</v>
      </c>
    </row>
    <row r="7" spans="2:7" ht="16.5" customHeight="1">
      <c r="B7" s="879"/>
      <c r="C7" s="879" t="s">
        <v>4154</v>
      </c>
      <c r="D7" s="880"/>
      <c r="G7" s="306" t="s">
        <v>4155</v>
      </c>
    </row>
    <row r="8" spans="2:7" ht="16.5" customHeight="1">
      <c r="B8" s="879"/>
      <c r="C8" s="879" t="s">
        <v>1507</v>
      </c>
      <c r="D8" s="880"/>
      <c r="G8" s="306" t="s">
        <v>4156</v>
      </c>
    </row>
    <row r="9" spans="2:7" ht="16.5" customHeight="1">
      <c r="B9" s="879"/>
      <c r="C9" s="879" t="s">
        <v>1510</v>
      </c>
      <c r="D9" s="880"/>
      <c r="G9" s="306" t="s">
        <v>4157</v>
      </c>
    </row>
    <row r="10" spans="2:7" ht="16.5" customHeight="1">
      <c r="B10" s="879"/>
      <c r="C10" s="879" t="s">
        <v>4158</v>
      </c>
      <c r="D10" s="880" t="s">
        <v>4159</v>
      </c>
      <c r="G10" s="306" t="s">
        <v>4160</v>
      </c>
    </row>
    <row r="11" spans="2:7" ht="16.5" customHeight="1">
      <c r="B11" s="879"/>
      <c r="C11" s="879" t="s">
        <v>4161</v>
      </c>
      <c r="D11" s="880"/>
      <c r="G11" s="306" t="s">
        <v>4162</v>
      </c>
    </row>
    <row r="12" spans="2:7" ht="16.5" customHeight="1">
      <c r="B12" s="879"/>
      <c r="C12" s="879" t="s">
        <v>4163</v>
      </c>
      <c r="D12" s="880"/>
      <c r="G12" s="306" t="s">
        <v>4164</v>
      </c>
    </row>
    <row r="13" spans="2:7" ht="16.5" customHeight="1">
      <c r="B13" s="879"/>
      <c r="C13" s="879" t="s">
        <v>4165</v>
      </c>
      <c r="D13" s="880"/>
      <c r="G13" s="306" t="s">
        <v>4166</v>
      </c>
    </row>
    <row r="14" spans="2:7" ht="16.5" customHeight="1">
      <c r="B14" s="879"/>
      <c r="C14" s="879" t="s">
        <v>4167</v>
      </c>
      <c r="D14" s="880"/>
      <c r="G14" s="306" t="s">
        <v>4168</v>
      </c>
    </row>
    <row r="15" spans="2:7" ht="16.5" customHeight="1">
      <c r="B15" s="879"/>
      <c r="C15" s="879" t="s">
        <v>4169</v>
      </c>
      <c r="D15" s="880"/>
      <c r="G15" s="306" t="s">
        <v>3649</v>
      </c>
    </row>
    <row r="16" spans="2:7" ht="16.5" customHeight="1">
      <c r="B16" s="879"/>
      <c r="C16" s="879" t="s">
        <v>4170</v>
      </c>
      <c r="D16" s="880"/>
      <c r="G16" s="306" t="s">
        <v>4171</v>
      </c>
    </row>
    <row r="17" spans="2:7" ht="16.5" customHeight="1">
      <c r="B17" s="879"/>
      <c r="C17" s="879" t="s">
        <v>4172</v>
      </c>
      <c r="D17" s="880"/>
      <c r="G17" s="306" t="s">
        <v>4173</v>
      </c>
    </row>
    <row r="18" spans="2:7" ht="16.5" customHeight="1">
      <c r="B18" s="879"/>
      <c r="C18" s="879" t="s">
        <v>4174</v>
      </c>
      <c r="D18" s="880"/>
      <c r="G18" s="306" t="s">
        <v>4175</v>
      </c>
    </row>
    <row r="19" spans="2:7" ht="16.5" customHeight="1">
      <c r="B19" s="879"/>
      <c r="C19" s="879" t="s">
        <v>4176</v>
      </c>
      <c r="D19" s="880"/>
      <c r="G19" s="306" t="s">
        <v>4177</v>
      </c>
    </row>
    <row r="20" spans="2:7" ht="16.5" customHeight="1">
      <c r="B20" s="879"/>
      <c r="C20" s="879" t="s">
        <v>4178</v>
      </c>
      <c r="D20" s="880" t="s">
        <v>4179</v>
      </c>
      <c r="G20" s="306" t="s">
        <v>4180</v>
      </c>
    </row>
    <row r="21" spans="2:7" ht="16.5" customHeight="1">
      <c r="B21" s="879"/>
      <c r="C21" s="879" t="s">
        <v>4181</v>
      </c>
      <c r="D21" s="880"/>
      <c r="G21" s="306" t="s">
        <v>4182</v>
      </c>
    </row>
    <row r="22" spans="2:7" ht="16.5" customHeight="1">
      <c r="B22" s="879"/>
      <c r="C22" s="879" t="s">
        <v>4183</v>
      </c>
      <c r="D22" s="880"/>
      <c r="G22" s="306" t="s">
        <v>4184</v>
      </c>
    </row>
    <row r="23" spans="2:7" ht="16.5" customHeight="1">
      <c r="B23" s="879"/>
      <c r="C23" s="879" t="s">
        <v>4185</v>
      </c>
      <c r="D23" s="880"/>
      <c r="G23" s="306" t="s">
        <v>4186</v>
      </c>
    </row>
    <row r="24" spans="2:7" ht="16.5" customHeight="1">
      <c r="B24" s="879"/>
      <c r="C24" s="879" t="s">
        <v>2450</v>
      </c>
      <c r="D24" s="880"/>
      <c r="G24" s="306" t="s">
        <v>4187</v>
      </c>
    </row>
    <row r="25" spans="2:7" ht="16.5" customHeight="1">
      <c r="B25" s="879"/>
      <c r="C25" s="879" t="s">
        <v>4188</v>
      </c>
      <c r="D25" s="880"/>
      <c r="G25" s="306" t="s">
        <v>4189</v>
      </c>
    </row>
    <row r="26" spans="2:7" ht="16.5" customHeight="1">
      <c r="B26" s="879"/>
      <c r="C26" s="879" t="s">
        <v>4190</v>
      </c>
      <c r="D26" s="880"/>
      <c r="G26" s="306" t="s">
        <v>4191</v>
      </c>
    </row>
    <row r="27" spans="2:7" ht="16.5" customHeight="1">
      <c r="B27" s="879"/>
      <c r="C27" s="879" t="s">
        <v>4192</v>
      </c>
      <c r="D27" s="880"/>
      <c r="G27" s="306" t="s">
        <v>4193</v>
      </c>
    </row>
    <row r="28" spans="2:7" ht="16.5" customHeight="1">
      <c r="B28" s="879"/>
      <c r="C28" s="879" t="s">
        <v>1675</v>
      </c>
      <c r="D28" s="880"/>
      <c r="G28" s="306" t="s">
        <v>4095</v>
      </c>
    </row>
    <row r="29" spans="2:7" ht="16.5" customHeight="1">
      <c r="B29" s="879"/>
      <c r="C29" s="879" t="s">
        <v>4194</v>
      </c>
      <c r="D29" s="880"/>
      <c r="G29" s="306" t="s">
        <v>4195</v>
      </c>
    </row>
    <row r="30" spans="2:7" ht="16.5" customHeight="1">
      <c r="B30" s="879"/>
      <c r="C30" s="879" t="s">
        <v>4196</v>
      </c>
      <c r="D30" s="880"/>
      <c r="G30" s="306" t="s">
        <v>4197</v>
      </c>
    </row>
    <row r="31" spans="2:7" ht="16.5" customHeight="1">
      <c r="B31" s="879"/>
      <c r="C31" s="879" t="s">
        <v>4198</v>
      </c>
      <c r="D31" s="880"/>
      <c r="G31" s="306" t="s">
        <v>4199</v>
      </c>
    </row>
    <row r="32" spans="2:7" ht="16.5" customHeight="1">
      <c r="B32" s="879"/>
      <c r="C32" s="879" t="s">
        <v>4200</v>
      </c>
      <c r="D32" s="880"/>
      <c r="G32" s="306" t="s">
        <v>4201</v>
      </c>
    </row>
    <row r="33" spans="2:7" ht="16.5" customHeight="1">
      <c r="B33" s="879"/>
      <c r="C33" s="879" t="s">
        <v>4202</v>
      </c>
      <c r="D33" s="880" t="s">
        <v>4203</v>
      </c>
      <c r="G33" s="306" t="s">
        <v>4204</v>
      </c>
    </row>
    <row r="34" spans="2:7" ht="16.5" customHeight="1">
      <c r="B34" s="879"/>
      <c r="C34" s="879" t="s">
        <v>4205</v>
      </c>
      <c r="D34" s="880" t="s">
        <v>4206</v>
      </c>
      <c r="G34" s="306" t="s">
        <v>4207</v>
      </c>
    </row>
    <row r="35" spans="2:7" ht="16.5" customHeight="1">
      <c r="B35" s="879"/>
      <c r="C35" s="879" t="s">
        <v>4208</v>
      </c>
      <c r="D35" s="880" t="s">
        <v>4209</v>
      </c>
      <c r="G35" s="306" t="s">
        <v>4210</v>
      </c>
    </row>
    <row r="36" spans="2:7" ht="16.5" customHeight="1">
      <c r="B36" s="879"/>
      <c r="C36" s="879" t="s">
        <v>4211</v>
      </c>
      <c r="D36" s="880" t="s">
        <v>4212</v>
      </c>
      <c r="G36" s="306" t="s">
        <v>4213</v>
      </c>
    </row>
    <row r="37" spans="2:7" ht="16.5" customHeight="1">
      <c r="B37" s="879"/>
      <c r="C37" s="879" t="s">
        <v>4214</v>
      </c>
      <c r="D37" s="880"/>
      <c r="G37" s="306" t="s">
        <v>4215</v>
      </c>
    </row>
    <row r="38" spans="2:7" ht="16.5" customHeight="1">
      <c r="B38" s="879"/>
      <c r="C38" s="879" t="s">
        <v>4216</v>
      </c>
      <c r="D38" s="880"/>
      <c r="G38" s="306" t="s">
        <v>4217</v>
      </c>
    </row>
    <row r="39" spans="2:7" ht="16.5" customHeight="1">
      <c r="B39" s="879"/>
      <c r="C39" s="879" t="s">
        <v>4218</v>
      </c>
      <c r="D39" s="880" t="s">
        <v>4219</v>
      </c>
      <c r="G39" s="306" t="s">
        <v>4220</v>
      </c>
    </row>
    <row r="40" spans="2:7" ht="16.5" customHeight="1">
      <c r="B40" s="879"/>
      <c r="C40" s="879" t="s">
        <v>4221</v>
      </c>
      <c r="D40" s="880"/>
      <c r="G40" s="306" t="s">
        <v>4098</v>
      </c>
    </row>
    <row r="41" spans="2:7" ht="16.5" customHeight="1">
      <c r="B41" s="879"/>
      <c r="C41" s="879" t="s">
        <v>4222</v>
      </c>
      <c r="D41" s="880"/>
      <c r="G41" s="306" t="s">
        <v>4223</v>
      </c>
    </row>
    <row r="42" spans="2:7" ht="16.5" customHeight="1">
      <c r="B42" s="879"/>
      <c r="C42" s="879" t="s">
        <v>4224</v>
      </c>
      <c r="D42" s="880" t="s">
        <v>4225</v>
      </c>
      <c r="G42" s="306" t="s">
        <v>4226</v>
      </c>
    </row>
    <row r="43" spans="2:7" ht="16.5" customHeight="1">
      <c r="B43" s="879"/>
      <c r="C43" s="879" t="s">
        <v>4227</v>
      </c>
      <c r="D43" s="880"/>
      <c r="G43" s="306" t="s">
        <v>4228</v>
      </c>
    </row>
    <row r="44" spans="2:7" ht="16.5" customHeight="1">
      <c r="B44" s="879"/>
      <c r="C44" s="879" t="s">
        <v>4229</v>
      </c>
      <c r="D44" s="880" t="s">
        <v>4230</v>
      </c>
      <c r="G44" s="306" t="s">
        <v>4231</v>
      </c>
    </row>
    <row r="45" spans="2:7" ht="16.5" customHeight="1">
      <c r="B45" s="879"/>
      <c r="C45" s="879" t="s">
        <v>4232</v>
      </c>
      <c r="D45" s="880"/>
      <c r="G45" s="306" t="s">
        <v>4233</v>
      </c>
    </row>
    <row r="46" spans="2:7" ht="16.5" customHeight="1">
      <c r="B46" s="879"/>
      <c r="C46" s="879" t="s">
        <v>4234</v>
      </c>
      <c r="D46" s="880"/>
      <c r="G46" s="306" t="s">
        <v>4235</v>
      </c>
    </row>
    <row r="47" spans="2:7" ht="16.5" customHeight="1">
      <c r="B47" s="879"/>
      <c r="C47" s="879" t="s">
        <v>4236</v>
      </c>
      <c r="D47" s="880" t="s">
        <v>4237</v>
      </c>
      <c r="G47" s="306" t="s">
        <v>4238</v>
      </c>
    </row>
    <row r="48" spans="2:7" ht="16.5" customHeight="1">
      <c r="B48" s="879"/>
      <c r="C48" s="879" t="s">
        <v>5674</v>
      </c>
      <c r="D48" s="880" t="s">
        <v>5675</v>
      </c>
      <c r="G48" s="306" t="s">
        <v>5676</v>
      </c>
    </row>
    <row r="49" spans="2:7" ht="16.5" customHeight="1">
      <c r="B49" s="879"/>
      <c r="C49" s="879" t="s">
        <v>4239</v>
      </c>
      <c r="D49" s="880"/>
      <c r="G49" s="306" t="s">
        <v>4240</v>
      </c>
    </row>
    <row r="50" spans="2:7" ht="16.5" customHeight="1">
      <c r="B50" s="879"/>
      <c r="C50" s="879" t="s">
        <v>4241</v>
      </c>
      <c r="D50" s="880" t="s">
        <v>4242</v>
      </c>
      <c r="G50" s="306" t="s">
        <v>4243</v>
      </c>
    </row>
    <row r="51" spans="2:7" ht="16.5" customHeight="1">
      <c r="B51" s="879"/>
      <c r="C51" s="879" t="s">
        <v>4244</v>
      </c>
      <c r="D51" s="880"/>
      <c r="G51" s="306" t="s">
        <v>4245</v>
      </c>
    </row>
    <row r="52" spans="2:7" ht="16.5" customHeight="1">
      <c r="B52" s="879"/>
      <c r="C52" s="879" t="s">
        <v>4246</v>
      </c>
      <c r="D52" s="880" t="s">
        <v>4247</v>
      </c>
      <c r="G52" s="306" t="s">
        <v>4248</v>
      </c>
    </row>
    <row r="53" spans="2:7" ht="16.5" customHeight="1">
      <c r="B53" s="879"/>
      <c r="C53" s="879" t="s">
        <v>4249</v>
      </c>
      <c r="D53" s="880"/>
      <c r="G53" s="306" t="s">
        <v>4250</v>
      </c>
    </row>
    <row r="54" spans="2:7" ht="16.5" customHeight="1">
      <c r="B54" s="879"/>
      <c r="C54" s="879" t="s">
        <v>4251</v>
      </c>
      <c r="D54" s="880" t="s">
        <v>4252</v>
      </c>
      <c r="G54" s="306" t="s">
        <v>4253</v>
      </c>
    </row>
    <row r="55" spans="2:7" ht="16.5" customHeight="1">
      <c r="B55" s="879"/>
      <c r="C55" s="879" t="s">
        <v>4254</v>
      </c>
      <c r="D55" s="880" t="s">
        <v>4255</v>
      </c>
      <c r="G55" s="306" t="s">
        <v>4256</v>
      </c>
    </row>
    <row r="56" spans="2:7" ht="16.5" customHeight="1">
      <c r="B56" s="879"/>
      <c r="C56" s="879" t="s">
        <v>4257</v>
      </c>
      <c r="D56" s="880"/>
      <c r="G56" s="306" t="s">
        <v>4258</v>
      </c>
    </row>
    <row r="57" spans="2:7" ht="16.5" customHeight="1">
      <c r="B57" s="879"/>
      <c r="C57" s="879" t="s">
        <v>4259</v>
      </c>
      <c r="D57" s="880"/>
      <c r="G57" s="306" t="s">
        <v>4260</v>
      </c>
    </row>
    <row r="58" spans="2:7" ht="16.5" customHeight="1">
      <c r="B58" s="879"/>
      <c r="C58" s="879" t="s">
        <v>4261</v>
      </c>
      <c r="D58" s="880"/>
      <c r="G58" s="306" t="s">
        <v>4262</v>
      </c>
    </row>
    <row r="59" spans="2:7" ht="16.5" customHeight="1">
      <c r="B59" s="879"/>
      <c r="C59" s="879" t="s">
        <v>4263</v>
      </c>
      <c r="D59" s="880"/>
      <c r="G59" s="306" t="s">
        <v>4264</v>
      </c>
    </row>
    <row r="60" spans="2:7" ht="16.5" customHeight="1">
      <c r="B60" s="879"/>
      <c r="C60" s="879" t="s">
        <v>4265</v>
      </c>
      <c r="D60" s="880" t="s">
        <v>4266</v>
      </c>
      <c r="G60" s="306" t="s">
        <v>4267</v>
      </c>
    </row>
    <row r="61" spans="2:7" ht="16.5" customHeight="1">
      <c r="B61" s="879"/>
      <c r="C61" s="879" t="s">
        <v>4268</v>
      </c>
      <c r="D61" s="880"/>
      <c r="G61" s="306" t="s">
        <v>4269</v>
      </c>
    </row>
    <row r="62" spans="2:7" ht="16.5" customHeight="1">
      <c r="B62" s="879"/>
      <c r="C62" s="879" t="s">
        <v>4270</v>
      </c>
      <c r="D62" s="880"/>
      <c r="G62" s="306" t="s">
        <v>4271</v>
      </c>
    </row>
    <row r="63" spans="2:7" ht="16.5" customHeight="1">
      <c r="B63" s="879"/>
      <c r="C63" s="879" t="s">
        <v>4272</v>
      </c>
      <c r="D63" s="880" t="s">
        <v>4203</v>
      </c>
      <c r="G63" s="306" t="s">
        <v>4273</v>
      </c>
    </row>
    <row r="64" spans="2:7" ht="16.5" customHeight="1">
      <c r="B64" s="879"/>
      <c r="C64" s="879" t="s">
        <v>4274</v>
      </c>
      <c r="D64" s="880"/>
      <c r="G64" s="306" t="s">
        <v>4275</v>
      </c>
    </row>
    <row r="65" spans="2:7" ht="75">
      <c r="B65" s="879"/>
      <c r="C65" s="879" t="s">
        <v>4276</v>
      </c>
      <c r="D65" s="880" t="s">
        <v>4277</v>
      </c>
      <c r="G65" s="306" t="s">
        <v>4278</v>
      </c>
    </row>
    <row r="66" spans="2:7" ht="16.5" customHeight="1">
      <c r="B66" s="879"/>
      <c r="C66" s="879" t="s">
        <v>4279</v>
      </c>
      <c r="D66" s="880" t="s">
        <v>4203</v>
      </c>
      <c r="G66" s="306" t="s">
        <v>4280</v>
      </c>
    </row>
    <row r="67" spans="2:7" ht="16.5" customHeight="1">
      <c r="B67" s="879"/>
      <c r="C67" s="879" t="s">
        <v>4281</v>
      </c>
      <c r="D67" s="880"/>
      <c r="G67" s="306" t="s">
        <v>4282</v>
      </c>
    </row>
    <row r="68" spans="2:7" ht="16.5" customHeight="1">
      <c r="B68" s="879"/>
      <c r="C68" s="879" t="s">
        <v>4283</v>
      </c>
      <c r="D68" s="880"/>
      <c r="G68" s="306" t="s">
        <v>4284</v>
      </c>
    </row>
    <row r="69" spans="2:7" ht="16.5" customHeight="1">
      <c r="B69" s="879"/>
      <c r="C69" s="879" t="s">
        <v>4285</v>
      </c>
      <c r="D69" s="880"/>
      <c r="G69" s="306" t="s">
        <v>4286</v>
      </c>
    </row>
    <row r="70" spans="2:7" ht="16.5" customHeight="1">
      <c r="B70" s="879"/>
      <c r="C70" s="879" t="s">
        <v>4287</v>
      </c>
      <c r="D70" s="880"/>
      <c r="G70" s="306" t="s">
        <v>4288</v>
      </c>
    </row>
    <row r="71" spans="2:7" ht="16.5" customHeight="1">
      <c r="B71" s="879"/>
      <c r="C71" s="879" t="s">
        <v>4289</v>
      </c>
      <c r="D71" s="880" t="s">
        <v>4290</v>
      </c>
      <c r="G71" s="306" t="s">
        <v>4291</v>
      </c>
    </row>
    <row r="72" spans="2:7" ht="16.5" customHeight="1">
      <c r="B72" s="879"/>
      <c r="C72" s="879" t="s">
        <v>4292</v>
      </c>
      <c r="D72" s="880"/>
      <c r="G72" s="306" t="s">
        <v>4293</v>
      </c>
    </row>
    <row r="73" spans="2:7" ht="16.5" customHeight="1">
      <c r="B73" s="879"/>
      <c r="C73" s="879" t="s">
        <v>4294</v>
      </c>
      <c r="D73" s="880" t="s">
        <v>4295</v>
      </c>
      <c r="G73" s="306" t="s">
        <v>4296</v>
      </c>
    </row>
    <row r="74" spans="2:7" ht="16.5" customHeight="1">
      <c r="B74" s="879"/>
      <c r="C74" s="879" t="s">
        <v>4297</v>
      </c>
      <c r="D74" s="880"/>
      <c r="G74" s="306" t="s">
        <v>4298</v>
      </c>
    </row>
    <row r="75" spans="2:7" ht="16.5" customHeight="1">
      <c r="B75" s="879"/>
      <c r="C75" s="879" t="s">
        <v>4299</v>
      </c>
      <c r="D75" s="880"/>
      <c r="G75" s="306" t="s">
        <v>4300</v>
      </c>
    </row>
    <row r="76" spans="2:7" ht="16.5" customHeight="1">
      <c r="B76" s="879"/>
      <c r="C76" s="879" t="s">
        <v>4301</v>
      </c>
      <c r="D76" s="880"/>
      <c r="G76" s="306" t="s">
        <v>4302</v>
      </c>
    </row>
    <row r="77" spans="2:7" ht="16.5" customHeight="1">
      <c r="B77" s="879"/>
      <c r="C77" s="879" t="s">
        <v>4303</v>
      </c>
      <c r="D77" s="880"/>
      <c r="G77" s="306" t="s">
        <v>4304</v>
      </c>
    </row>
    <row r="78" spans="2:7" ht="16.5" customHeight="1">
      <c r="B78" s="879"/>
      <c r="C78" s="879" t="s">
        <v>4305</v>
      </c>
      <c r="D78" s="880"/>
      <c r="G78" s="306" t="s">
        <v>4306</v>
      </c>
    </row>
    <row r="79" spans="2:7" ht="16.5" customHeight="1">
      <c r="B79" s="879"/>
      <c r="C79" s="879" t="s">
        <v>4307</v>
      </c>
      <c r="D79" s="880"/>
      <c r="G79" s="306" t="s">
        <v>4308</v>
      </c>
    </row>
    <row r="80" spans="2:7" ht="16.5" customHeight="1">
      <c r="B80" s="879"/>
      <c r="C80" s="879" t="s">
        <v>4309</v>
      </c>
      <c r="D80" s="880" t="s">
        <v>4310</v>
      </c>
      <c r="G80" s="306" t="s">
        <v>4311</v>
      </c>
    </row>
    <row r="81" spans="2:7" ht="16.5" customHeight="1">
      <c r="B81" s="879"/>
      <c r="C81" s="879" t="s">
        <v>4312</v>
      </c>
      <c r="D81" s="880"/>
      <c r="G81" s="306" t="s">
        <v>4313</v>
      </c>
    </row>
    <row r="82" spans="2:7" ht="16.5" customHeight="1">
      <c r="B82" s="879"/>
      <c r="C82" s="879" t="s">
        <v>4314</v>
      </c>
      <c r="D82" s="880"/>
      <c r="G82" s="306" t="s">
        <v>4315</v>
      </c>
    </row>
    <row r="83" spans="2:7" ht="16.5" customHeight="1">
      <c r="B83" s="879"/>
      <c r="C83" s="879" t="s">
        <v>4316</v>
      </c>
      <c r="D83" s="880"/>
      <c r="G83" s="306" t="s">
        <v>4317</v>
      </c>
    </row>
    <row r="84" spans="2:7" ht="16.5" customHeight="1">
      <c r="B84" s="879"/>
      <c r="C84" s="879" t="s">
        <v>4318</v>
      </c>
      <c r="D84" s="880"/>
      <c r="G84" s="306" t="s">
        <v>4319</v>
      </c>
    </row>
    <row r="85" spans="2:7" ht="16.5" customHeight="1">
      <c r="B85" s="879"/>
      <c r="C85" s="879" t="s">
        <v>4320</v>
      </c>
      <c r="D85" s="880"/>
      <c r="G85" s="306" t="s">
        <v>4321</v>
      </c>
    </row>
    <row r="86" spans="2:7" ht="16.5" customHeight="1">
      <c r="B86" s="879"/>
      <c r="C86" s="879" t="s">
        <v>4322</v>
      </c>
      <c r="D86" s="880"/>
      <c r="G86" s="306" t="s">
        <v>4323</v>
      </c>
    </row>
    <row r="87" spans="2:7" ht="16.5" customHeight="1">
      <c r="B87" s="879"/>
      <c r="C87" s="879" t="s">
        <v>4096</v>
      </c>
      <c r="D87" s="880"/>
      <c r="G87" s="306" t="s">
        <v>4324</v>
      </c>
    </row>
    <row r="88" spans="2:7" ht="16.5" customHeight="1">
      <c r="B88" s="879"/>
      <c r="C88" s="879" t="s">
        <v>4325</v>
      </c>
      <c r="D88" s="880"/>
      <c r="G88" s="306" t="s">
        <v>4326</v>
      </c>
    </row>
    <row r="89" spans="2:7" ht="16.5" customHeight="1">
      <c r="B89" s="879"/>
      <c r="C89" s="879" t="s">
        <v>4327</v>
      </c>
      <c r="D89" s="880"/>
      <c r="G89" s="306" t="s">
        <v>4328</v>
      </c>
    </row>
    <row r="90" spans="2:7" ht="16.5" customHeight="1">
      <c r="B90" s="879"/>
      <c r="C90" s="879" t="s">
        <v>4329</v>
      </c>
      <c r="D90" s="880"/>
      <c r="G90" s="306" t="s">
        <v>4330</v>
      </c>
    </row>
    <row r="91" spans="2:7" ht="16.5" customHeight="1">
      <c r="B91" s="879"/>
      <c r="C91" s="879" t="s">
        <v>4331</v>
      </c>
      <c r="D91" s="880"/>
      <c r="G91" s="306" t="s">
        <v>4332</v>
      </c>
    </row>
    <row r="92" spans="2:7" ht="16.5" customHeight="1">
      <c r="B92" s="879"/>
      <c r="C92" s="879" t="s">
        <v>4333</v>
      </c>
      <c r="D92" s="880"/>
      <c r="G92" s="306" t="s">
        <v>4334</v>
      </c>
    </row>
    <row r="93" spans="2:7" ht="16.5" customHeight="1">
      <c r="B93" s="879"/>
      <c r="C93" s="879" t="s">
        <v>4335</v>
      </c>
      <c r="D93" s="880"/>
      <c r="G93" s="306" t="s">
        <v>4336</v>
      </c>
    </row>
    <row r="94" spans="2:7" ht="16.5" customHeight="1">
      <c r="B94" s="879"/>
      <c r="C94" s="879" t="s">
        <v>4337</v>
      </c>
      <c r="D94" s="880"/>
      <c r="G94" s="306" t="s">
        <v>4338</v>
      </c>
    </row>
    <row r="95" spans="2:7" ht="16.5" customHeight="1">
      <c r="B95" s="879"/>
      <c r="C95" s="879" t="s">
        <v>4339</v>
      </c>
      <c r="D95" s="880" t="s">
        <v>4340</v>
      </c>
      <c r="G95" s="306" t="s">
        <v>4341</v>
      </c>
    </row>
    <row r="96" spans="2:7" ht="16.5" customHeight="1">
      <c r="B96" s="879"/>
      <c r="C96" s="879" t="s">
        <v>4342</v>
      </c>
      <c r="D96" s="880" t="s">
        <v>4343</v>
      </c>
      <c r="G96" s="306" t="s">
        <v>4344</v>
      </c>
    </row>
  </sheetData>
  <sheetProtection algorithmName="SHA-512" hashValue="IN9ki4s/GggsTIdKqGV6mPVz+FmBfk/UAYPfb2mSp7BG+gPd79VsLsbLUgJwEe419LB5iHP/WdkVb8Tdm0XKog==" saltValue="Z0wndNyR4afYBYNMAkAx2Q==" spinCount="100000"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17762"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17763"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17764"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17765"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17766"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17767"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17768"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17769"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17770"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17771"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17772"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17773"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17774"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17775"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17776"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17777"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17778"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17779"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17780"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17781"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17782"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17783"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17784"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17785"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17786"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17787"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17788"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17789"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17790"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17791"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17792"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17793"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17794"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17795"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17796"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17797"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17798"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17799"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17800"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17801"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17802" r:id="rId44" name="Option Button 42">
              <controlPr defaultSize="0" autoFill="0" autoLine="0" autoPict="0">
                <anchor moveWithCells="1">
                  <from>
                    <xdr:col>1</xdr:col>
                    <xdr:colOff>438150</xdr:colOff>
                    <xdr:row>47</xdr:row>
                    <xdr:rowOff>31750</xdr:rowOff>
                  </from>
                  <to>
                    <xdr:col>1</xdr:col>
                    <xdr:colOff>984250</xdr:colOff>
                    <xdr:row>47</xdr:row>
                    <xdr:rowOff>184150</xdr:rowOff>
                  </to>
                </anchor>
              </controlPr>
            </control>
          </mc:Choice>
        </mc:AlternateContent>
        <mc:AlternateContent xmlns:mc="http://schemas.openxmlformats.org/markup-compatibility/2006">
          <mc:Choice Requires="x14">
            <control shapeId="117803" r:id="rId45" name="Option Button 43">
              <controlPr defaultSize="0" autoFill="0" autoLine="0" autoPict="0">
                <anchor moveWithCells="1">
                  <from>
                    <xdr:col>1</xdr:col>
                    <xdr:colOff>438150</xdr:colOff>
                    <xdr:row>48</xdr:row>
                    <xdr:rowOff>31750</xdr:rowOff>
                  </from>
                  <to>
                    <xdr:col>1</xdr:col>
                    <xdr:colOff>984250</xdr:colOff>
                    <xdr:row>48</xdr:row>
                    <xdr:rowOff>184150</xdr:rowOff>
                  </to>
                </anchor>
              </controlPr>
            </control>
          </mc:Choice>
        </mc:AlternateContent>
        <mc:AlternateContent xmlns:mc="http://schemas.openxmlformats.org/markup-compatibility/2006">
          <mc:Choice Requires="x14">
            <control shapeId="117804" r:id="rId46" name="Option Button 44">
              <controlPr defaultSize="0" autoFill="0" autoLine="0" autoPict="0">
                <anchor moveWithCells="1">
                  <from>
                    <xdr:col>1</xdr:col>
                    <xdr:colOff>438150</xdr:colOff>
                    <xdr:row>49</xdr:row>
                    <xdr:rowOff>31750</xdr:rowOff>
                  </from>
                  <to>
                    <xdr:col>1</xdr:col>
                    <xdr:colOff>984250</xdr:colOff>
                    <xdr:row>49</xdr:row>
                    <xdr:rowOff>184150</xdr:rowOff>
                  </to>
                </anchor>
              </controlPr>
            </control>
          </mc:Choice>
        </mc:AlternateContent>
        <mc:AlternateContent xmlns:mc="http://schemas.openxmlformats.org/markup-compatibility/2006">
          <mc:Choice Requires="x14">
            <control shapeId="117805" r:id="rId47" name="Option Button 45">
              <controlPr defaultSize="0" autoFill="0" autoLine="0" autoPict="0">
                <anchor moveWithCells="1">
                  <from>
                    <xdr:col>1</xdr:col>
                    <xdr:colOff>438150</xdr:colOff>
                    <xdr:row>50</xdr:row>
                    <xdr:rowOff>31750</xdr:rowOff>
                  </from>
                  <to>
                    <xdr:col>1</xdr:col>
                    <xdr:colOff>984250</xdr:colOff>
                    <xdr:row>50</xdr:row>
                    <xdr:rowOff>184150</xdr:rowOff>
                  </to>
                </anchor>
              </controlPr>
            </control>
          </mc:Choice>
        </mc:AlternateContent>
        <mc:AlternateContent xmlns:mc="http://schemas.openxmlformats.org/markup-compatibility/2006">
          <mc:Choice Requires="x14">
            <control shapeId="117806" r:id="rId48" name="Option Button 46">
              <controlPr defaultSize="0" autoFill="0" autoLine="0" autoPict="0">
                <anchor moveWithCells="1">
                  <from>
                    <xdr:col>1</xdr:col>
                    <xdr:colOff>438150</xdr:colOff>
                    <xdr:row>51</xdr:row>
                    <xdr:rowOff>31750</xdr:rowOff>
                  </from>
                  <to>
                    <xdr:col>1</xdr:col>
                    <xdr:colOff>984250</xdr:colOff>
                    <xdr:row>51</xdr:row>
                    <xdr:rowOff>184150</xdr:rowOff>
                  </to>
                </anchor>
              </controlPr>
            </control>
          </mc:Choice>
        </mc:AlternateContent>
        <mc:AlternateContent xmlns:mc="http://schemas.openxmlformats.org/markup-compatibility/2006">
          <mc:Choice Requires="x14">
            <control shapeId="117807" r:id="rId49" name="Option Button 47">
              <controlPr defaultSize="0" autoFill="0" autoLine="0" autoPict="0">
                <anchor moveWithCells="1">
                  <from>
                    <xdr:col>1</xdr:col>
                    <xdr:colOff>438150</xdr:colOff>
                    <xdr:row>52</xdr:row>
                    <xdr:rowOff>31750</xdr:rowOff>
                  </from>
                  <to>
                    <xdr:col>1</xdr:col>
                    <xdr:colOff>984250</xdr:colOff>
                    <xdr:row>52</xdr:row>
                    <xdr:rowOff>184150</xdr:rowOff>
                  </to>
                </anchor>
              </controlPr>
            </control>
          </mc:Choice>
        </mc:AlternateContent>
        <mc:AlternateContent xmlns:mc="http://schemas.openxmlformats.org/markup-compatibility/2006">
          <mc:Choice Requires="x14">
            <control shapeId="117808" r:id="rId50" name="Option Button 48">
              <controlPr defaultSize="0" autoFill="0" autoLine="0" autoPict="0">
                <anchor moveWithCells="1">
                  <from>
                    <xdr:col>1</xdr:col>
                    <xdr:colOff>438150</xdr:colOff>
                    <xdr:row>53</xdr:row>
                    <xdr:rowOff>31750</xdr:rowOff>
                  </from>
                  <to>
                    <xdr:col>1</xdr:col>
                    <xdr:colOff>984250</xdr:colOff>
                    <xdr:row>53</xdr:row>
                    <xdr:rowOff>184150</xdr:rowOff>
                  </to>
                </anchor>
              </controlPr>
            </control>
          </mc:Choice>
        </mc:AlternateContent>
        <mc:AlternateContent xmlns:mc="http://schemas.openxmlformats.org/markup-compatibility/2006">
          <mc:Choice Requires="x14">
            <control shapeId="117809" r:id="rId51" name="Option Button 49">
              <controlPr defaultSize="0" autoFill="0" autoLine="0" autoPict="0">
                <anchor moveWithCells="1">
                  <from>
                    <xdr:col>1</xdr:col>
                    <xdr:colOff>438150</xdr:colOff>
                    <xdr:row>54</xdr:row>
                    <xdr:rowOff>31750</xdr:rowOff>
                  </from>
                  <to>
                    <xdr:col>1</xdr:col>
                    <xdr:colOff>984250</xdr:colOff>
                    <xdr:row>54</xdr:row>
                    <xdr:rowOff>184150</xdr:rowOff>
                  </to>
                </anchor>
              </controlPr>
            </control>
          </mc:Choice>
        </mc:AlternateContent>
        <mc:AlternateContent xmlns:mc="http://schemas.openxmlformats.org/markup-compatibility/2006">
          <mc:Choice Requires="x14">
            <control shapeId="117810" r:id="rId52" name="Option Button 50">
              <controlPr defaultSize="0" autoFill="0" autoLine="0" autoPict="0">
                <anchor moveWithCells="1">
                  <from>
                    <xdr:col>1</xdr:col>
                    <xdr:colOff>438150</xdr:colOff>
                    <xdr:row>55</xdr:row>
                    <xdr:rowOff>31750</xdr:rowOff>
                  </from>
                  <to>
                    <xdr:col>1</xdr:col>
                    <xdr:colOff>984250</xdr:colOff>
                    <xdr:row>55</xdr:row>
                    <xdr:rowOff>184150</xdr:rowOff>
                  </to>
                </anchor>
              </controlPr>
            </control>
          </mc:Choice>
        </mc:AlternateContent>
        <mc:AlternateContent xmlns:mc="http://schemas.openxmlformats.org/markup-compatibility/2006">
          <mc:Choice Requires="x14">
            <control shapeId="117811" r:id="rId53" name="Option Button 51">
              <controlPr defaultSize="0" autoFill="0" autoLine="0" autoPict="0">
                <anchor moveWithCells="1">
                  <from>
                    <xdr:col>1</xdr:col>
                    <xdr:colOff>438150</xdr:colOff>
                    <xdr:row>56</xdr:row>
                    <xdr:rowOff>31750</xdr:rowOff>
                  </from>
                  <to>
                    <xdr:col>1</xdr:col>
                    <xdr:colOff>984250</xdr:colOff>
                    <xdr:row>56</xdr:row>
                    <xdr:rowOff>184150</xdr:rowOff>
                  </to>
                </anchor>
              </controlPr>
            </control>
          </mc:Choice>
        </mc:AlternateContent>
        <mc:AlternateContent xmlns:mc="http://schemas.openxmlformats.org/markup-compatibility/2006">
          <mc:Choice Requires="x14">
            <control shapeId="117812" r:id="rId54" name="Option Button 52">
              <controlPr defaultSize="0" autoFill="0" autoLine="0" autoPict="0">
                <anchor moveWithCells="1">
                  <from>
                    <xdr:col>1</xdr:col>
                    <xdr:colOff>438150</xdr:colOff>
                    <xdr:row>57</xdr:row>
                    <xdr:rowOff>31750</xdr:rowOff>
                  </from>
                  <to>
                    <xdr:col>1</xdr:col>
                    <xdr:colOff>984250</xdr:colOff>
                    <xdr:row>57</xdr:row>
                    <xdr:rowOff>184150</xdr:rowOff>
                  </to>
                </anchor>
              </controlPr>
            </control>
          </mc:Choice>
        </mc:AlternateContent>
        <mc:AlternateContent xmlns:mc="http://schemas.openxmlformats.org/markup-compatibility/2006">
          <mc:Choice Requires="x14">
            <control shapeId="117813" r:id="rId55" name="Option Button 53">
              <controlPr defaultSize="0" autoFill="0" autoLine="0" autoPict="0">
                <anchor moveWithCells="1">
                  <from>
                    <xdr:col>1</xdr:col>
                    <xdr:colOff>438150</xdr:colOff>
                    <xdr:row>58</xdr:row>
                    <xdr:rowOff>31750</xdr:rowOff>
                  </from>
                  <to>
                    <xdr:col>1</xdr:col>
                    <xdr:colOff>984250</xdr:colOff>
                    <xdr:row>58</xdr:row>
                    <xdr:rowOff>184150</xdr:rowOff>
                  </to>
                </anchor>
              </controlPr>
            </control>
          </mc:Choice>
        </mc:AlternateContent>
        <mc:AlternateContent xmlns:mc="http://schemas.openxmlformats.org/markup-compatibility/2006">
          <mc:Choice Requires="x14">
            <control shapeId="117814" r:id="rId56" name="Option Button 54">
              <controlPr defaultSize="0" autoFill="0" autoLine="0" autoPict="0">
                <anchor moveWithCells="1">
                  <from>
                    <xdr:col>1</xdr:col>
                    <xdr:colOff>438150</xdr:colOff>
                    <xdr:row>59</xdr:row>
                    <xdr:rowOff>31750</xdr:rowOff>
                  </from>
                  <to>
                    <xdr:col>1</xdr:col>
                    <xdr:colOff>984250</xdr:colOff>
                    <xdr:row>59</xdr:row>
                    <xdr:rowOff>184150</xdr:rowOff>
                  </to>
                </anchor>
              </controlPr>
            </control>
          </mc:Choice>
        </mc:AlternateContent>
        <mc:AlternateContent xmlns:mc="http://schemas.openxmlformats.org/markup-compatibility/2006">
          <mc:Choice Requires="x14">
            <control shapeId="117815" r:id="rId57" name="Option Button 55">
              <controlPr defaultSize="0" autoFill="0" autoLine="0" autoPict="0">
                <anchor moveWithCells="1">
                  <from>
                    <xdr:col>1</xdr:col>
                    <xdr:colOff>438150</xdr:colOff>
                    <xdr:row>60</xdr:row>
                    <xdr:rowOff>31750</xdr:rowOff>
                  </from>
                  <to>
                    <xdr:col>1</xdr:col>
                    <xdr:colOff>984250</xdr:colOff>
                    <xdr:row>60</xdr:row>
                    <xdr:rowOff>184150</xdr:rowOff>
                  </to>
                </anchor>
              </controlPr>
            </control>
          </mc:Choice>
        </mc:AlternateContent>
        <mc:AlternateContent xmlns:mc="http://schemas.openxmlformats.org/markup-compatibility/2006">
          <mc:Choice Requires="x14">
            <control shapeId="117816" r:id="rId58" name="Option Button 56">
              <controlPr defaultSize="0" autoFill="0" autoLine="0" autoPict="0">
                <anchor moveWithCells="1">
                  <from>
                    <xdr:col>1</xdr:col>
                    <xdr:colOff>438150</xdr:colOff>
                    <xdr:row>61</xdr:row>
                    <xdr:rowOff>31750</xdr:rowOff>
                  </from>
                  <to>
                    <xdr:col>1</xdr:col>
                    <xdr:colOff>984250</xdr:colOff>
                    <xdr:row>61</xdr:row>
                    <xdr:rowOff>184150</xdr:rowOff>
                  </to>
                </anchor>
              </controlPr>
            </control>
          </mc:Choice>
        </mc:AlternateContent>
        <mc:AlternateContent xmlns:mc="http://schemas.openxmlformats.org/markup-compatibility/2006">
          <mc:Choice Requires="x14">
            <control shapeId="117817" r:id="rId59" name="Option Button 57">
              <controlPr defaultSize="0" autoFill="0" autoLine="0" autoPict="0">
                <anchor moveWithCells="1">
                  <from>
                    <xdr:col>1</xdr:col>
                    <xdr:colOff>438150</xdr:colOff>
                    <xdr:row>62</xdr:row>
                    <xdr:rowOff>31750</xdr:rowOff>
                  </from>
                  <to>
                    <xdr:col>1</xdr:col>
                    <xdr:colOff>984250</xdr:colOff>
                    <xdr:row>62</xdr:row>
                    <xdr:rowOff>184150</xdr:rowOff>
                  </to>
                </anchor>
              </controlPr>
            </control>
          </mc:Choice>
        </mc:AlternateContent>
        <mc:AlternateContent xmlns:mc="http://schemas.openxmlformats.org/markup-compatibility/2006">
          <mc:Choice Requires="x14">
            <control shapeId="117818"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17819" r:id="rId61" name="Option Button 59">
              <controlPr defaultSize="0" autoFill="0" autoLine="0" autoPict="0">
                <anchor moveWithCells="1">
                  <from>
                    <xdr:col>1</xdr:col>
                    <xdr:colOff>438150</xdr:colOff>
                    <xdr:row>64</xdr:row>
                    <xdr:rowOff>323850</xdr:rowOff>
                  </from>
                  <to>
                    <xdr:col>1</xdr:col>
                    <xdr:colOff>984250</xdr:colOff>
                    <xdr:row>64</xdr:row>
                    <xdr:rowOff>476250</xdr:rowOff>
                  </to>
                </anchor>
              </controlPr>
            </control>
          </mc:Choice>
        </mc:AlternateContent>
        <mc:AlternateContent xmlns:mc="http://schemas.openxmlformats.org/markup-compatibility/2006">
          <mc:Choice Requires="x14">
            <control shapeId="117820" r:id="rId62" name="Option Button 60">
              <controlPr defaultSize="0" autoFill="0" autoLine="0" autoPict="0">
                <anchor moveWithCells="1">
                  <from>
                    <xdr:col>1</xdr:col>
                    <xdr:colOff>438150</xdr:colOff>
                    <xdr:row>65</xdr:row>
                    <xdr:rowOff>31750</xdr:rowOff>
                  </from>
                  <to>
                    <xdr:col>1</xdr:col>
                    <xdr:colOff>984250</xdr:colOff>
                    <xdr:row>65</xdr:row>
                    <xdr:rowOff>184150</xdr:rowOff>
                  </to>
                </anchor>
              </controlPr>
            </control>
          </mc:Choice>
        </mc:AlternateContent>
        <mc:AlternateContent xmlns:mc="http://schemas.openxmlformats.org/markup-compatibility/2006">
          <mc:Choice Requires="x14">
            <control shapeId="117821" r:id="rId63" name="Option Button 61">
              <controlPr defaultSize="0" autoFill="0" autoLine="0" autoPict="0">
                <anchor moveWithCells="1">
                  <from>
                    <xdr:col>1</xdr:col>
                    <xdr:colOff>438150</xdr:colOff>
                    <xdr:row>66</xdr:row>
                    <xdr:rowOff>31750</xdr:rowOff>
                  </from>
                  <to>
                    <xdr:col>1</xdr:col>
                    <xdr:colOff>984250</xdr:colOff>
                    <xdr:row>66</xdr:row>
                    <xdr:rowOff>184150</xdr:rowOff>
                  </to>
                </anchor>
              </controlPr>
            </control>
          </mc:Choice>
        </mc:AlternateContent>
        <mc:AlternateContent xmlns:mc="http://schemas.openxmlformats.org/markup-compatibility/2006">
          <mc:Choice Requires="x14">
            <control shapeId="117822" r:id="rId64" name="Option Button 62">
              <controlPr defaultSize="0" autoFill="0" autoLine="0" autoPict="0">
                <anchor moveWithCells="1">
                  <from>
                    <xdr:col>1</xdr:col>
                    <xdr:colOff>438150</xdr:colOff>
                    <xdr:row>67</xdr:row>
                    <xdr:rowOff>31750</xdr:rowOff>
                  </from>
                  <to>
                    <xdr:col>1</xdr:col>
                    <xdr:colOff>984250</xdr:colOff>
                    <xdr:row>67</xdr:row>
                    <xdr:rowOff>184150</xdr:rowOff>
                  </to>
                </anchor>
              </controlPr>
            </control>
          </mc:Choice>
        </mc:AlternateContent>
        <mc:AlternateContent xmlns:mc="http://schemas.openxmlformats.org/markup-compatibility/2006">
          <mc:Choice Requires="x14">
            <control shapeId="117823" r:id="rId65" name="Option Button 63">
              <controlPr defaultSize="0" autoFill="0" autoLine="0" autoPict="0">
                <anchor moveWithCells="1">
                  <from>
                    <xdr:col>1</xdr:col>
                    <xdr:colOff>438150</xdr:colOff>
                    <xdr:row>68</xdr:row>
                    <xdr:rowOff>31750</xdr:rowOff>
                  </from>
                  <to>
                    <xdr:col>1</xdr:col>
                    <xdr:colOff>984250</xdr:colOff>
                    <xdr:row>68</xdr:row>
                    <xdr:rowOff>184150</xdr:rowOff>
                  </to>
                </anchor>
              </controlPr>
            </control>
          </mc:Choice>
        </mc:AlternateContent>
        <mc:AlternateContent xmlns:mc="http://schemas.openxmlformats.org/markup-compatibility/2006">
          <mc:Choice Requires="x14">
            <control shapeId="117824" r:id="rId66" name="Option Button 64">
              <controlPr defaultSize="0" autoFill="0" autoLine="0" autoPict="0">
                <anchor moveWithCells="1">
                  <from>
                    <xdr:col>1</xdr:col>
                    <xdr:colOff>438150</xdr:colOff>
                    <xdr:row>69</xdr:row>
                    <xdr:rowOff>31750</xdr:rowOff>
                  </from>
                  <to>
                    <xdr:col>1</xdr:col>
                    <xdr:colOff>984250</xdr:colOff>
                    <xdr:row>69</xdr:row>
                    <xdr:rowOff>184150</xdr:rowOff>
                  </to>
                </anchor>
              </controlPr>
            </control>
          </mc:Choice>
        </mc:AlternateContent>
        <mc:AlternateContent xmlns:mc="http://schemas.openxmlformats.org/markup-compatibility/2006">
          <mc:Choice Requires="x14">
            <control shapeId="117825" r:id="rId67" name="Option Button 65">
              <controlPr defaultSize="0" autoFill="0" autoLine="0" autoPict="0">
                <anchor moveWithCells="1">
                  <from>
                    <xdr:col>1</xdr:col>
                    <xdr:colOff>438150</xdr:colOff>
                    <xdr:row>70</xdr:row>
                    <xdr:rowOff>31750</xdr:rowOff>
                  </from>
                  <to>
                    <xdr:col>1</xdr:col>
                    <xdr:colOff>984250</xdr:colOff>
                    <xdr:row>70</xdr:row>
                    <xdr:rowOff>184150</xdr:rowOff>
                  </to>
                </anchor>
              </controlPr>
            </control>
          </mc:Choice>
        </mc:AlternateContent>
        <mc:AlternateContent xmlns:mc="http://schemas.openxmlformats.org/markup-compatibility/2006">
          <mc:Choice Requires="x14">
            <control shapeId="117826" r:id="rId68" name="Option Button 66">
              <controlPr defaultSize="0" autoFill="0" autoLine="0" autoPict="0">
                <anchor moveWithCells="1">
                  <from>
                    <xdr:col>1</xdr:col>
                    <xdr:colOff>438150</xdr:colOff>
                    <xdr:row>71</xdr:row>
                    <xdr:rowOff>31750</xdr:rowOff>
                  </from>
                  <to>
                    <xdr:col>1</xdr:col>
                    <xdr:colOff>984250</xdr:colOff>
                    <xdr:row>71</xdr:row>
                    <xdr:rowOff>184150</xdr:rowOff>
                  </to>
                </anchor>
              </controlPr>
            </control>
          </mc:Choice>
        </mc:AlternateContent>
        <mc:AlternateContent xmlns:mc="http://schemas.openxmlformats.org/markup-compatibility/2006">
          <mc:Choice Requires="x14">
            <control shapeId="117827" r:id="rId69" name="Option Button 67">
              <controlPr defaultSize="0" autoFill="0" autoLine="0" autoPict="0">
                <anchor moveWithCells="1">
                  <from>
                    <xdr:col>1</xdr:col>
                    <xdr:colOff>438150</xdr:colOff>
                    <xdr:row>72</xdr:row>
                    <xdr:rowOff>31750</xdr:rowOff>
                  </from>
                  <to>
                    <xdr:col>1</xdr:col>
                    <xdr:colOff>984250</xdr:colOff>
                    <xdr:row>72</xdr:row>
                    <xdr:rowOff>184150</xdr:rowOff>
                  </to>
                </anchor>
              </controlPr>
            </control>
          </mc:Choice>
        </mc:AlternateContent>
        <mc:AlternateContent xmlns:mc="http://schemas.openxmlformats.org/markup-compatibility/2006">
          <mc:Choice Requires="x14">
            <control shapeId="117828" r:id="rId70" name="Option Button 68">
              <controlPr defaultSize="0" autoFill="0" autoLine="0" autoPict="0">
                <anchor moveWithCells="1">
                  <from>
                    <xdr:col>1</xdr:col>
                    <xdr:colOff>438150</xdr:colOff>
                    <xdr:row>73</xdr:row>
                    <xdr:rowOff>31750</xdr:rowOff>
                  </from>
                  <to>
                    <xdr:col>1</xdr:col>
                    <xdr:colOff>984250</xdr:colOff>
                    <xdr:row>73</xdr:row>
                    <xdr:rowOff>184150</xdr:rowOff>
                  </to>
                </anchor>
              </controlPr>
            </control>
          </mc:Choice>
        </mc:AlternateContent>
        <mc:AlternateContent xmlns:mc="http://schemas.openxmlformats.org/markup-compatibility/2006">
          <mc:Choice Requires="x14">
            <control shapeId="117829" r:id="rId71" name="Option Button 69">
              <controlPr defaultSize="0" autoFill="0" autoLine="0" autoPict="0">
                <anchor moveWithCells="1">
                  <from>
                    <xdr:col>1</xdr:col>
                    <xdr:colOff>438150</xdr:colOff>
                    <xdr:row>74</xdr:row>
                    <xdr:rowOff>31750</xdr:rowOff>
                  </from>
                  <to>
                    <xdr:col>1</xdr:col>
                    <xdr:colOff>984250</xdr:colOff>
                    <xdr:row>74</xdr:row>
                    <xdr:rowOff>184150</xdr:rowOff>
                  </to>
                </anchor>
              </controlPr>
            </control>
          </mc:Choice>
        </mc:AlternateContent>
        <mc:AlternateContent xmlns:mc="http://schemas.openxmlformats.org/markup-compatibility/2006">
          <mc:Choice Requires="x14">
            <control shapeId="117830" r:id="rId72" name="Option Button 70">
              <controlPr defaultSize="0" autoFill="0" autoLine="0" autoPict="0">
                <anchor moveWithCells="1">
                  <from>
                    <xdr:col>1</xdr:col>
                    <xdr:colOff>438150</xdr:colOff>
                    <xdr:row>75</xdr:row>
                    <xdr:rowOff>31750</xdr:rowOff>
                  </from>
                  <to>
                    <xdr:col>1</xdr:col>
                    <xdr:colOff>984250</xdr:colOff>
                    <xdr:row>75</xdr:row>
                    <xdr:rowOff>184150</xdr:rowOff>
                  </to>
                </anchor>
              </controlPr>
            </control>
          </mc:Choice>
        </mc:AlternateContent>
        <mc:AlternateContent xmlns:mc="http://schemas.openxmlformats.org/markup-compatibility/2006">
          <mc:Choice Requires="x14">
            <control shapeId="117831" r:id="rId73" name="Option Button 71">
              <controlPr defaultSize="0" autoFill="0" autoLine="0" autoPict="0">
                <anchor moveWithCells="1">
                  <from>
                    <xdr:col>1</xdr:col>
                    <xdr:colOff>438150</xdr:colOff>
                    <xdr:row>76</xdr:row>
                    <xdr:rowOff>31750</xdr:rowOff>
                  </from>
                  <to>
                    <xdr:col>1</xdr:col>
                    <xdr:colOff>984250</xdr:colOff>
                    <xdr:row>76</xdr:row>
                    <xdr:rowOff>184150</xdr:rowOff>
                  </to>
                </anchor>
              </controlPr>
            </control>
          </mc:Choice>
        </mc:AlternateContent>
        <mc:AlternateContent xmlns:mc="http://schemas.openxmlformats.org/markup-compatibility/2006">
          <mc:Choice Requires="x14">
            <control shapeId="117832" r:id="rId74" name="Option Button 72">
              <controlPr defaultSize="0" autoFill="0" autoLine="0" autoPict="0">
                <anchor moveWithCells="1">
                  <from>
                    <xdr:col>1</xdr:col>
                    <xdr:colOff>438150</xdr:colOff>
                    <xdr:row>77</xdr:row>
                    <xdr:rowOff>31750</xdr:rowOff>
                  </from>
                  <to>
                    <xdr:col>1</xdr:col>
                    <xdr:colOff>984250</xdr:colOff>
                    <xdr:row>77</xdr:row>
                    <xdr:rowOff>184150</xdr:rowOff>
                  </to>
                </anchor>
              </controlPr>
            </control>
          </mc:Choice>
        </mc:AlternateContent>
        <mc:AlternateContent xmlns:mc="http://schemas.openxmlformats.org/markup-compatibility/2006">
          <mc:Choice Requires="x14">
            <control shapeId="117833" r:id="rId75" name="Option Button 73">
              <controlPr defaultSize="0" autoFill="0" autoLine="0" autoPict="0">
                <anchor moveWithCells="1">
                  <from>
                    <xdr:col>1</xdr:col>
                    <xdr:colOff>438150</xdr:colOff>
                    <xdr:row>78</xdr:row>
                    <xdr:rowOff>31750</xdr:rowOff>
                  </from>
                  <to>
                    <xdr:col>1</xdr:col>
                    <xdr:colOff>984250</xdr:colOff>
                    <xdr:row>78</xdr:row>
                    <xdr:rowOff>184150</xdr:rowOff>
                  </to>
                </anchor>
              </controlPr>
            </control>
          </mc:Choice>
        </mc:AlternateContent>
        <mc:AlternateContent xmlns:mc="http://schemas.openxmlformats.org/markup-compatibility/2006">
          <mc:Choice Requires="x14">
            <control shapeId="117834" r:id="rId76" name="Option Button 74">
              <controlPr defaultSize="0" autoFill="0" autoLine="0" autoPict="0">
                <anchor moveWithCells="1">
                  <from>
                    <xdr:col>1</xdr:col>
                    <xdr:colOff>438150</xdr:colOff>
                    <xdr:row>79</xdr:row>
                    <xdr:rowOff>31750</xdr:rowOff>
                  </from>
                  <to>
                    <xdr:col>1</xdr:col>
                    <xdr:colOff>984250</xdr:colOff>
                    <xdr:row>79</xdr:row>
                    <xdr:rowOff>184150</xdr:rowOff>
                  </to>
                </anchor>
              </controlPr>
            </control>
          </mc:Choice>
        </mc:AlternateContent>
        <mc:AlternateContent xmlns:mc="http://schemas.openxmlformats.org/markup-compatibility/2006">
          <mc:Choice Requires="x14">
            <control shapeId="117835" r:id="rId77" name="Option Button 75">
              <controlPr defaultSize="0" autoFill="0" autoLine="0" autoPict="0">
                <anchor moveWithCells="1">
                  <from>
                    <xdr:col>1</xdr:col>
                    <xdr:colOff>438150</xdr:colOff>
                    <xdr:row>80</xdr:row>
                    <xdr:rowOff>31750</xdr:rowOff>
                  </from>
                  <to>
                    <xdr:col>1</xdr:col>
                    <xdr:colOff>984250</xdr:colOff>
                    <xdr:row>80</xdr:row>
                    <xdr:rowOff>184150</xdr:rowOff>
                  </to>
                </anchor>
              </controlPr>
            </control>
          </mc:Choice>
        </mc:AlternateContent>
        <mc:AlternateContent xmlns:mc="http://schemas.openxmlformats.org/markup-compatibility/2006">
          <mc:Choice Requires="x14">
            <control shapeId="117836" r:id="rId78" name="Option Button 76">
              <controlPr defaultSize="0" autoFill="0" autoLine="0" autoPict="0">
                <anchor moveWithCells="1">
                  <from>
                    <xdr:col>1</xdr:col>
                    <xdr:colOff>438150</xdr:colOff>
                    <xdr:row>81</xdr:row>
                    <xdr:rowOff>31750</xdr:rowOff>
                  </from>
                  <to>
                    <xdr:col>1</xdr:col>
                    <xdr:colOff>984250</xdr:colOff>
                    <xdr:row>81</xdr:row>
                    <xdr:rowOff>184150</xdr:rowOff>
                  </to>
                </anchor>
              </controlPr>
            </control>
          </mc:Choice>
        </mc:AlternateContent>
        <mc:AlternateContent xmlns:mc="http://schemas.openxmlformats.org/markup-compatibility/2006">
          <mc:Choice Requires="x14">
            <control shapeId="117837" r:id="rId79" name="Option Button 77">
              <controlPr defaultSize="0" autoFill="0" autoLine="0" autoPict="0">
                <anchor moveWithCells="1">
                  <from>
                    <xdr:col>1</xdr:col>
                    <xdr:colOff>438150</xdr:colOff>
                    <xdr:row>82</xdr:row>
                    <xdr:rowOff>31750</xdr:rowOff>
                  </from>
                  <to>
                    <xdr:col>1</xdr:col>
                    <xdr:colOff>984250</xdr:colOff>
                    <xdr:row>82</xdr:row>
                    <xdr:rowOff>184150</xdr:rowOff>
                  </to>
                </anchor>
              </controlPr>
            </control>
          </mc:Choice>
        </mc:AlternateContent>
        <mc:AlternateContent xmlns:mc="http://schemas.openxmlformats.org/markup-compatibility/2006">
          <mc:Choice Requires="x14">
            <control shapeId="117838" r:id="rId80" name="Option Button 78">
              <controlPr defaultSize="0" autoFill="0" autoLine="0" autoPict="0">
                <anchor moveWithCells="1">
                  <from>
                    <xdr:col>1</xdr:col>
                    <xdr:colOff>438150</xdr:colOff>
                    <xdr:row>83</xdr:row>
                    <xdr:rowOff>31750</xdr:rowOff>
                  </from>
                  <to>
                    <xdr:col>1</xdr:col>
                    <xdr:colOff>984250</xdr:colOff>
                    <xdr:row>83</xdr:row>
                    <xdr:rowOff>184150</xdr:rowOff>
                  </to>
                </anchor>
              </controlPr>
            </control>
          </mc:Choice>
        </mc:AlternateContent>
        <mc:AlternateContent xmlns:mc="http://schemas.openxmlformats.org/markup-compatibility/2006">
          <mc:Choice Requires="x14">
            <control shapeId="117839" r:id="rId81" name="Option Button 79">
              <controlPr defaultSize="0" autoFill="0" autoLine="0" autoPict="0">
                <anchor moveWithCells="1">
                  <from>
                    <xdr:col>1</xdr:col>
                    <xdr:colOff>438150</xdr:colOff>
                    <xdr:row>84</xdr:row>
                    <xdr:rowOff>31750</xdr:rowOff>
                  </from>
                  <to>
                    <xdr:col>1</xdr:col>
                    <xdr:colOff>984250</xdr:colOff>
                    <xdr:row>84</xdr:row>
                    <xdr:rowOff>184150</xdr:rowOff>
                  </to>
                </anchor>
              </controlPr>
            </control>
          </mc:Choice>
        </mc:AlternateContent>
        <mc:AlternateContent xmlns:mc="http://schemas.openxmlformats.org/markup-compatibility/2006">
          <mc:Choice Requires="x14">
            <control shapeId="117840" r:id="rId82" name="Option Button 80">
              <controlPr defaultSize="0" autoFill="0" autoLine="0" autoPict="0">
                <anchor moveWithCells="1">
                  <from>
                    <xdr:col>1</xdr:col>
                    <xdr:colOff>438150</xdr:colOff>
                    <xdr:row>85</xdr:row>
                    <xdr:rowOff>31750</xdr:rowOff>
                  </from>
                  <to>
                    <xdr:col>1</xdr:col>
                    <xdr:colOff>984250</xdr:colOff>
                    <xdr:row>85</xdr:row>
                    <xdr:rowOff>184150</xdr:rowOff>
                  </to>
                </anchor>
              </controlPr>
            </control>
          </mc:Choice>
        </mc:AlternateContent>
        <mc:AlternateContent xmlns:mc="http://schemas.openxmlformats.org/markup-compatibility/2006">
          <mc:Choice Requires="x14">
            <control shapeId="117841" r:id="rId83" name="Option Button 81">
              <controlPr defaultSize="0" autoFill="0" autoLine="0" autoPict="0">
                <anchor moveWithCells="1">
                  <from>
                    <xdr:col>1</xdr:col>
                    <xdr:colOff>438150</xdr:colOff>
                    <xdr:row>86</xdr:row>
                    <xdr:rowOff>31750</xdr:rowOff>
                  </from>
                  <to>
                    <xdr:col>1</xdr:col>
                    <xdr:colOff>984250</xdr:colOff>
                    <xdr:row>86</xdr:row>
                    <xdr:rowOff>184150</xdr:rowOff>
                  </to>
                </anchor>
              </controlPr>
            </control>
          </mc:Choice>
        </mc:AlternateContent>
        <mc:AlternateContent xmlns:mc="http://schemas.openxmlformats.org/markup-compatibility/2006">
          <mc:Choice Requires="x14">
            <control shapeId="117842" r:id="rId84" name="Option Button 82">
              <controlPr defaultSize="0" autoFill="0" autoLine="0" autoPict="0">
                <anchor moveWithCells="1">
                  <from>
                    <xdr:col>1</xdr:col>
                    <xdr:colOff>438150</xdr:colOff>
                    <xdr:row>87</xdr:row>
                    <xdr:rowOff>31750</xdr:rowOff>
                  </from>
                  <to>
                    <xdr:col>1</xdr:col>
                    <xdr:colOff>984250</xdr:colOff>
                    <xdr:row>87</xdr:row>
                    <xdr:rowOff>184150</xdr:rowOff>
                  </to>
                </anchor>
              </controlPr>
            </control>
          </mc:Choice>
        </mc:AlternateContent>
        <mc:AlternateContent xmlns:mc="http://schemas.openxmlformats.org/markup-compatibility/2006">
          <mc:Choice Requires="x14">
            <control shapeId="117843" r:id="rId85" name="Option Button 83">
              <controlPr defaultSize="0" autoFill="0" autoLine="0" autoPict="0">
                <anchor moveWithCells="1">
                  <from>
                    <xdr:col>1</xdr:col>
                    <xdr:colOff>438150</xdr:colOff>
                    <xdr:row>88</xdr:row>
                    <xdr:rowOff>31750</xdr:rowOff>
                  </from>
                  <to>
                    <xdr:col>1</xdr:col>
                    <xdr:colOff>984250</xdr:colOff>
                    <xdr:row>88</xdr:row>
                    <xdr:rowOff>184150</xdr:rowOff>
                  </to>
                </anchor>
              </controlPr>
            </control>
          </mc:Choice>
        </mc:AlternateContent>
        <mc:AlternateContent xmlns:mc="http://schemas.openxmlformats.org/markup-compatibility/2006">
          <mc:Choice Requires="x14">
            <control shapeId="117844" r:id="rId86" name="Option Button 84">
              <controlPr defaultSize="0" autoFill="0" autoLine="0" autoPict="0">
                <anchor moveWithCells="1">
                  <from>
                    <xdr:col>1</xdr:col>
                    <xdr:colOff>438150</xdr:colOff>
                    <xdr:row>89</xdr:row>
                    <xdr:rowOff>31750</xdr:rowOff>
                  </from>
                  <to>
                    <xdr:col>1</xdr:col>
                    <xdr:colOff>984250</xdr:colOff>
                    <xdr:row>89</xdr:row>
                    <xdr:rowOff>184150</xdr:rowOff>
                  </to>
                </anchor>
              </controlPr>
            </control>
          </mc:Choice>
        </mc:AlternateContent>
        <mc:AlternateContent xmlns:mc="http://schemas.openxmlformats.org/markup-compatibility/2006">
          <mc:Choice Requires="x14">
            <control shapeId="117845" r:id="rId87" name="Option Button 85">
              <controlPr defaultSize="0" autoFill="0" autoLine="0" autoPict="0">
                <anchor moveWithCells="1">
                  <from>
                    <xdr:col>1</xdr:col>
                    <xdr:colOff>438150</xdr:colOff>
                    <xdr:row>90</xdr:row>
                    <xdr:rowOff>31750</xdr:rowOff>
                  </from>
                  <to>
                    <xdr:col>1</xdr:col>
                    <xdr:colOff>984250</xdr:colOff>
                    <xdr:row>90</xdr:row>
                    <xdr:rowOff>184150</xdr:rowOff>
                  </to>
                </anchor>
              </controlPr>
            </control>
          </mc:Choice>
        </mc:AlternateContent>
        <mc:AlternateContent xmlns:mc="http://schemas.openxmlformats.org/markup-compatibility/2006">
          <mc:Choice Requires="x14">
            <control shapeId="117846" r:id="rId88" name="Option Button 86">
              <controlPr defaultSize="0" autoFill="0" autoLine="0" autoPict="0">
                <anchor moveWithCells="1">
                  <from>
                    <xdr:col>1</xdr:col>
                    <xdr:colOff>438150</xdr:colOff>
                    <xdr:row>91</xdr:row>
                    <xdr:rowOff>31750</xdr:rowOff>
                  </from>
                  <to>
                    <xdr:col>1</xdr:col>
                    <xdr:colOff>984250</xdr:colOff>
                    <xdr:row>91</xdr:row>
                    <xdr:rowOff>184150</xdr:rowOff>
                  </to>
                </anchor>
              </controlPr>
            </control>
          </mc:Choice>
        </mc:AlternateContent>
        <mc:AlternateContent xmlns:mc="http://schemas.openxmlformats.org/markup-compatibility/2006">
          <mc:Choice Requires="x14">
            <control shapeId="117847" r:id="rId89" name="Option Button 87">
              <controlPr defaultSize="0" autoFill="0" autoLine="0" autoPict="0">
                <anchor moveWithCells="1">
                  <from>
                    <xdr:col>1</xdr:col>
                    <xdr:colOff>438150</xdr:colOff>
                    <xdr:row>92</xdr:row>
                    <xdr:rowOff>31750</xdr:rowOff>
                  </from>
                  <to>
                    <xdr:col>1</xdr:col>
                    <xdr:colOff>984250</xdr:colOff>
                    <xdr:row>92</xdr:row>
                    <xdr:rowOff>184150</xdr:rowOff>
                  </to>
                </anchor>
              </controlPr>
            </control>
          </mc:Choice>
        </mc:AlternateContent>
        <mc:AlternateContent xmlns:mc="http://schemas.openxmlformats.org/markup-compatibility/2006">
          <mc:Choice Requires="x14">
            <control shapeId="117848" r:id="rId90" name="Option Button 88">
              <controlPr defaultSize="0" autoFill="0" autoLine="0" autoPict="0">
                <anchor moveWithCells="1">
                  <from>
                    <xdr:col>1</xdr:col>
                    <xdr:colOff>438150</xdr:colOff>
                    <xdr:row>93</xdr:row>
                    <xdr:rowOff>31750</xdr:rowOff>
                  </from>
                  <to>
                    <xdr:col>1</xdr:col>
                    <xdr:colOff>984250</xdr:colOff>
                    <xdr:row>93</xdr:row>
                    <xdr:rowOff>184150</xdr:rowOff>
                  </to>
                </anchor>
              </controlPr>
            </control>
          </mc:Choice>
        </mc:AlternateContent>
        <mc:AlternateContent xmlns:mc="http://schemas.openxmlformats.org/markup-compatibility/2006">
          <mc:Choice Requires="x14">
            <control shapeId="117849"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17850" r:id="rId92" name="Option Button 90">
              <controlPr defaultSize="0" autoFill="0" autoLine="0" autoPict="0">
                <anchor moveWithCells="1">
                  <from>
                    <xdr:col>1</xdr:col>
                    <xdr:colOff>438150</xdr:colOff>
                    <xdr:row>95</xdr:row>
                    <xdr:rowOff>31750</xdr:rowOff>
                  </from>
                  <to>
                    <xdr:col>1</xdr:col>
                    <xdr:colOff>984250</xdr:colOff>
                    <xdr:row>95</xdr:row>
                    <xdr:rowOff>184150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CC00FF"/>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398" customWidth="1"/>
    <col min="2" max="2" width="14" style="398" bestFit="1" customWidth="1"/>
    <col min="3" max="3" width="52.6328125" style="398" customWidth="1"/>
    <col min="4" max="4" width="58.7265625" style="398" customWidth="1"/>
    <col min="5" max="5" width="45.6328125" style="398" hidden="1" customWidth="1"/>
    <col min="6" max="6" width="8.7265625" style="398" hidden="1" customWidth="1"/>
    <col min="7" max="8" width="12.6328125" style="398" hidden="1" customWidth="1"/>
    <col min="9" max="256" width="9" style="398"/>
    <col min="257" max="257" width="9.08984375" style="398" customWidth="1"/>
    <col min="258" max="258" width="9.453125" style="398" bestFit="1" customWidth="1"/>
    <col min="259" max="259" width="21.6328125" style="398" customWidth="1"/>
    <col min="260" max="260" width="57.36328125" style="398" customWidth="1"/>
    <col min="261" max="261" width="73.453125" style="398" customWidth="1"/>
    <col min="262" max="262" width="70.6328125" style="398" bestFit="1" customWidth="1"/>
    <col min="263" max="512" width="9" style="398"/>
    <col min="513" max="513" width="9.08984375" style="398" customWidth="1"/>
    <col min="514" max="514" width="9.453125" style="398" bestFit="1" customWidth="1"/>
    <col min="515" max="515" width="21.6328125" style="398" customWidth="1"/>
    <col min="516" max="516" width="57.36328125" style="398" customWidth="1"/>
    <col min="517" max="517" width="73.453125" style="398" customWidth="1"/>
    <col min="518" max="518" width="70.6328125" style="398" bestFit="1" customWidth="1"/>
    <col min="519" max="768" width="9" style="398"/>
    <col min="769" max="769" width="9.08984375" style="398" customWidth="1"/>
    <col min="770" max="770" width="9.453125" style="398" bestFit="1" customWidth="1"/>
    <col min="771" max="771" width="21.6328125" style="398" customWidth="1"/>
    <col min="772" max="772" width="57.36328125" style="398" customWidth="1"/>
    <col min="773" max="773" width="73.453125" style="398" customWidth="1"/>
    <col min="774" max="774" width="70.6328125" style="398" bestFit="1" customWidth="1"/>
    <col min="775" max="1024" width="9" style="398"/>
    <col min="1025" max="1025" width="9.08984375" style="398" customWidth="1"/>
    <col min="1026" max="1026" width="9.453125" style="398" bestFit="1" customWidth="1"/>
    <col min="1027" max="1027" width="21.6328125" style="398" customWidth="1"/>
    <col min="1028" max="1028" width="57.36328125" style="398" customWidth="1"/>
    <col min="1029" max="1029" width="73.453125" style="398" customWidth="1"/>
    <col min="1030" max="1030" width="70.6328125" style="398" bestFit="1" customWidth="1"/>
    <col min="1031" max="1280" width="9" style="398"/>
    <col min="1281" max="1281" width="9.08984375" style="398" customWidth="1"/>
    <col min="1282" max="1282" width="9.453125" style="398" bestFit="1" customWidth="1"/>
    <col min="1283" max="1283" width="21.6328125" style="398" customWidth="1"/>
    <col min="1284" max="1284" width="57.36328125" style="398" customWidth="1"/>
    <col min="1285" max="1285" width="73.453125" style="398" customWidth="1"/>
    <col min="1286" max="1286" width="70.6328125" style="398" bestFit="1" customWidth="1"/>
    <col min="1287" max="1536" width="9" style="398"/>
    <col min="1537" max="1537" width="9.08984375" style="398" customWidth="1"/>
    <col min="1538" max="1538" width="9.453125" style="398" bestFit="1" customWidth="1"/>
    <col min="1539" max="1539" width="21.6328125" style="398" customWidth="1"/>
    <col min="1540" max="1540" width="57.36328125" style="398" customWidth="1"/>
    <col min="1541" max="1541" width="73.453125" style="398" customWidth="1"/>
    <col min="1542" max="1542" width="70.6328125" style="398" bestFit="1" customWidth="1"/>
    <col min="1543" max="1792" width="9" style="398"/>
    <col min="1793" max="1793" width="9.08984375" style="398" customWidth="1"/>
    <col min="1794" max="1794" width="9.453125" style="398" bestFit="1" customWidth="1"/>
    <col min="1795" max="1795" width="21.6328125" style="398" customWidth="1"/>
    <col min="1796" max="1796" width="57.36328125" style="398" customWidth="1"/>
    <col min="1797" max="1797" width="73.453125" style="398" customWidth="1"/>
    <col min="1798" max="1798" width="70.6328125" style="398" bestFit="1" customWidth="1"/>
    <col min="1799" max="2048" width="9" style="398"/>
    <col min="2049" max="2049" width="9.08984375" style="398" customWidth="1"/>
    <col min="2050" max="2050" width="9.453125" style="398" bestFit="1" customWidth="1"/>
    <col min="2051" max="2051" width="21.6328125" style="398" customWidth="1"/>
    <col min="2052" max="2052" width="57.36328125" style="398" customWidth="1"/>
    <col min="2053" max="2053" width="73.453125" style="398" customWidth="1"/>
    <col min="2054" max="2054" width="70.6328125" style="398" bestFit="1" customWidth="1"/>
    <col min="2055" max="2304" width="9" style="398"/>
    <col min="2305" max="2305" width="9.08984375" style="398" customWidth="1"/>
    <col min="2306" max="2306" width="9.453125" style="398" bestFit="1" customWidth="1"/>
    <col min="2307" max="2307" width="21.6328125" style="398" customWidth="1"/>
    <col min="2308" max="2308" width="57.36328125" style="398" customWidth="1"/>
    <col min="2309" max="2309" width="73.453125" style="398" customWidth="1"/>
    <col min="2310" max="2310" width="70.6328125" style="398" bestFit="1" customWidth="1"/>
    <col min="2311" max="2560" width="9" style="398"/>
    <col min="2561" max="2561" width="9.08984375" style="398" customWidth="1"/>
    <col min="2562" max="2562" width="9.453125" style="398" bestFit="1" customWidth="1"/>
    <col min="2563" max="2563" width="21.6328125" style="398" customWidth="1"/>
    <col min="2564" max="2564" width="57.36328125" style="398" customWidth="1"/>
    <col min="2565" max="2565" width="73.453125" style="398" customWidth="1"/>
    <col min="2566" max="2566" width="70.6328125" style="398" bestFit="1" customWidth="1"/>
    <col min="2567" max="2816" width="9" style="398"/>
    <col min="2817" max="2817" width="9.08984375" style="398" customWidth="1"/>
    <col min="2818" max="2818" width="9.453125" style="398" bestFit="1" customWidth="1"/>
    <col min="2819" max="2819" width="21.6328125" style="398" customWidth="1"/>
    <col min="2820" max="2820" width="57.36328125" style="398" customWidth="1"/>
    <col min="2821" max="2821" width="73.453125" style="398" customWidth="1"/>
    <col min="2822" max="2822" width="70.6328125" style="398" bestFit="1" customWidth="1"/>
    <col min="2823" max="3072" width="9" style="398"/>
    <col min="3073" max="3073" width="9.08984375" style="398" customWidth="1"/>
    <col min="3074" max="3074" width="9.453125" style="398" bestFit="1" customWidth="1"/>
    <col min="3075" max="3075" width="21.6328125" style="398" customWidth="1"/>
    <col min="3076" max="3076" width="57.36328125" style="398" customWidth="1"/>
    <col min="3077" max="3077" width="73.453125" style="398" customWidth="1"/>
    <col min="3078" max="3078" width="70.6328125" style="398" bestFit="1" customWidth="1"/>
    <col min="3079" max="3328" width="9" style="398"/>
    <col min="3329" max="3329" width="9.08984375" style="398" customWidth="1"/>
    <col min="3330" max="3330" width="9.453125" style="398" bestFit="1" customWidth="1"/>
    <col min="3331" max="3331" width="21.6328125" style="398" customWidth="1"/>
    <col min="3332" max="3332" width="57.36328125" style="398" customWidth="1"/>
    <col min="3333" max="3333" width="73.453125" style="398" customWidth="1"/>
    <col min="3334" max="3334" width="70.6328125" style="398" bestFit="1" customWidth="1"/>
    <col min="3335" max="3584" width="9" style="398"/>
    <col min="3585" max="3585" width="9.08984375" style="398" customWidth="1"/>
    <col min="3586" max="3586" width="9.453125" style="398" bestFit="1" customWidth="1"/>
    <col min="3587" max="3587" width="21.6328125" style="398" customWidth="1"/>
    <col min="3588" max="3588" width="57.36328125" style="398" customWidth="1"/>
    <col min="3589" max="3589" width="73.453125" style="398" customWidth="1"/>
    <col min="3590" max="3590" width="70.6328125" style="398" bestFit="1" customWidth="1"/>
    <col min="3591" max="3840" width="9" style="398"/>
    <col min="3841" max="3841" width="9.08984375" style="398" customWidth="1"/>
    <col min="3842" max="3842" width="9.453125" style="398" bestFit="1" customWidth="1"/>
    <col min="3843" max="3843" width="21.6328125" style="398" customWidth="1"/>
    <col min="3844" max="3844" width="57.36328125" style="398" customWidth="1"/>
    <col min="3845" max="3845" width="73.453125" style="398" customWidth="1"/>
    <col min="3846" max="3846" width="70.6328125" style="398" bestFit="1" customWidth="1"/>
    <col min="3847" max="4096" width="9" style="398"/>
    <col min="4097" max="4097" width="9.08984375" style="398" customWidth="1"/>
    <col min="4098" max="4098" width="9.453125" style="398" bestFit="1" customWidth="1"/>
    <col min="4099" max="4099" width="21.6328125" style="398" customWidth="1"/>
    <col min="4100" max="4100" width="57.36328125" style="398" customWidth="1"/>
    <col min="4101" max="4101" width="73.453125" style="398" customWidth="1"/>
    <col min="4102" max="4102" width="70.6328125" style="398" bestFit="1" customWidth="1"/>
    <col min="4103" max="4352" width="9" style="398"/>
    <col min="4353" max="4353" width="9.08984375" style="398" customWidth="1"/>
    <col min="4354" max="4354" width="9.453125" style="398" bestFit="1" customWidth="1"/>
    <col min="4355" max="4355" width="21.6328125" style="398" customWidth="1"/>
    <col min="4356" max="4356" width="57.36328125" style="398" customWidth="1"/>
    <col min="4357" max="4357" width="73.453125" style="398" customWidth="1"/>
    <col min="4358" max="4358" width="70.6328125" style="398" bestFit="1" customWidth="1"/>
    <col min="4359" max="4608" width="9" style="398"/>
    <col min="4609" max="4609" width="9.08984375" style="398" customWidth="1"/>
    <col min="4610" max="4610" width="9.453125" style="398" bestFit="1" customWidth="1"/>
    <col min="4611" max="4611" width="21.6328125" style="398" customWidth="1"/>
    <col min="4612" max="4612" width="57.36328125" style="398" customWidth="1"/>
    <col min="4613" max="4613" width="73.453125" style="398" customWidth="1"/>
    <col min="4614" max="4614" width="70.6328125" style="398" bestFit="1" customWidth="1"/>
    <col min="4615" max="4864" width="9" style="398"/>
    <col min="4865" max="4865" width="9.08984375" style="398" customWidth="1"/>
    <col min="4866" max="4866" width="9.453125" style="398" bestFit="1" customWidth="1"/>
    <col min="4867" max="4867" width="21.6328125" style="398" customWidth="1"/>
    <col min="4868" max="4868" width="57.36328125" style="398" customWidth="1"/>
    <col min="4869" max="4869" width="73.453125" style="398" customWidth="1"/>
    <col min="4870" max="4870" width="70.6328125" style="398" bestFit="1" customWidth="1"/>
    <col min="4871" max="5120" width="9" style="398"/>
    <col min="5121" max="5121" width="9.08984375" style="398" customWidth="1"/>
    <col min="5122" max="5122" width="9.453125" style="398" bestFit="1" customWidth="1"/>
    <col min="5123" max="5123" width="21.6328125" style="398" customWidth="1"/>
    <col min="5124" max="5124" width="57.36328125" style="398" customWidth="1"/>
    <col min="5125" max="5125" width="73.453125" style="398" customWidth="1"/>
    <col min="5126" max="5126" width="70.6328125" style="398" bestFit="1" customWidth="1"/>
    <col min="5127" max="5376" width="9" style="398"/>
    <col min="5377" max="5377" width="9.08984375" style="398" customWidth="1"/>
    <col min="5378" max="5378" width="9.453125" style="398" bestFit="1" customWidth="1"/>
    <col min="5379" max="5379" width="21.6328125" style="398" customWidth="1"/>
    <col min="5380" max="5380" width="57.36328125" style="398" customWidth="1"/>
    <col min="5381" max="5381" width="73.453125" style="398" customWidth="1"/>
    <col min="5382" max="5382" width="70.6328125" style="398" bestFit="1" customWidth="1"/>
    <col min="5383" max="5632" width="9" style="398"/>
    <col min="5633" max="5633" width="9.08984375" style="398" customWidth="1"/>
    <col min="5634" max="5634" width="9.453125" style="398" bestFit="1" customWidth="1"/>
    <col min="5635" max="5635" width="21.6328125" style="398" customWidth="1"/>
    <col min="5636" max="5636" width="57.36328125" style="398" customWidth="1"/>
    <col min="5637" max="5637" width="73.453125" style="398" customWidth="1"/>
    <col min="5638" max="5638" width="70.6328125" style="398" bestFit="1" customWidth="1"/>
    <col min="5639" max="5888" width="9" style="398"/>
    <col min="5889" max="5889" width="9.08984375" style="398" customWidth="1"/>
    <col min="5890" max="5890" width="9.453125" style="398" bestFit="1" customWidth="1"/>
    <col min="5891" max="5891" width="21.6328125" style="398" customWidth="1"/>
    <col min="5892" max="5892" width="57.36328125" style="398" customWidth="1"/>
    <col min="5893" max="5893" width="73.453125" style="398" customWidth="1"/>
    <col min="5894" max="5894" width="70.6328125" style="398" bestFit="1" customWidth="1"/>
    <col min="5895" max="6144" width="9" style="398"/>
    <col min="6145" max="6145" width="9.08984375" style="398" customWidth="1"/>
    <col min="6146" max="6146" width="9.453125" style="398" bestFit="1" customWidth="1"/>
    <col min="6147" max="6147" width="21.6328125" style="398" customWidth="1"/>
    <col min="6148" max="6148" width="57.36328125" style="398" customWidth="1"/>
    <col min="6149" max="6149" width="73.453125" style="398" customWidth="1"/>
    <col min="6150" max="6150" width="70.6328125" style="398" bestFit="1" customWidth="1"/>
    <col min="6151" max="6400" width="9" style="398"/>
    <col min="6401" max="6401" width="9.08984375" style="398" customWidth="1"/>
    <col min="6402" max="6402" width="9.453125" style="398" bestFit="1" customWidth="1"/>
    <col min="6403" max="6403" width="21.6328125" style="398" customWidth="1"/>
    <col min="6404" max="6404" width="57.36328125" style="398" customWidth="1"/>
    <col min="6405" max="6405" width="73.453125" style="398" customWidth="1"/>
    <col min="6406" max="6406" width="70.6328125" style="398" bestFit="1" customWidth="1"/>
    <col min="6407" max="6656" width="9" style="398"/>
    <col min="6657" max="6657" width="9.08984375" style="398" customWidth="1"/>
    <col min="6658" max="6658" width="9.453125" style="398" bestFit="1" customWidth="1"/>
    <col min="6659" max="6659" width="21.6328125" style="398" customWidth="1"/>
    <col min="6660" max="6660" width="57.36328125" style="398" customWidth="1"/>
    <col min="6661" max="6661" width="73.453125" style="398" customWidth="1"/>
    <col min="6662" max="6662" width="70.6328125" style="398" bestFit="1" customWidth="1"/>
    <col min="6663" max="6912" width="9" style="398"/>
    <col min="6913" max="6913" width="9.08984375" style="398" customWidth="1"/>
    <col min="6914" max="6914" width="9.453125" style="398" bestFit="1" customWidth="1"/>
    <col min="6915" max="6915" width="21.6328125" style="398" customWidth="1"/>
    <col min="6916" max="6916" width="57.36328125" style="398" customWidth="1"/>
    <col min="6917" max="6917" width="73.453125" style="398" customWidth="1"/>
    <col min="6918" max="6918" width="70.6328125" style="398" bestFit="1" customWidth="1"/>
    <col min="6919" max="7168" width="9" style="398"/>
    <col min="7169" max="7169" width="9.08984375" style="398" customWidth="1"/>
    <col min="7170" max="7170" width="9.453125" style="398" bestFit="1" customWidth="1"/>
    <col min="7171" max="7171" width="21.6328125" style="398" customWidth="1"/>
    <col min="7172" max="7172" width="57.36328125" style="398" customWidth="1"/>
    <col min="7173" max="7173" width="73.453125" style="398" customWidth="1"/>
    <col min="7174" max="7174" width="70.6328125" style="398" bestFit="1" customWidth="1"/>
    <col min="7175" max="7424" width="9" style="398"/>
    <col min="7425" max="7425" width="9.08984375" style="398" customWidth="1"/>
    <col min="7426" max="7426" width="9.453125" style="398" bestFit="1" customWidth="1"/>
    <col min="7427" max="7427" width="21.6328125" style="398" customWidth="1"/>
    <col min="7428" max="7428" width="57.36328125" style="398" customWidth="1"/>
    <col min="7429" max="7429" width="73.453125" style="398" customWidth="1"/>
    <col min="7430" max="7430" width="70.6328125" style="398" bestFit="1" customWidth="1"/>
    <col min="7431" max="7680" width="9" style="398"/>
    <col min="7681" max="7681" width="9.08984375" style="398" customWidth="1"/>
    <col min="7682" max="7682" width="9.453125" style="398" bestFit="1" customWidth="1"/>
    <col min="7683" max="7683" width="21.6328125" style="398" customWidth="1"/>
    <col min="7684" max="7684" width="57.36328125" style="398" customWidth="1"/>
    <col min="7685" max="7685" width="73.453125" style="398" customWidth="1"/>
    <col min="7686" max="7686" width="70.6328125" style="398" bestFit="1" customWidth="1"/>
    <col min="7687" max="7936" width="9" style="398"/>
    <col min="7937" max="7937" width="9.08984375" style="398" customWidth="1"/>
    <col min="7938" max="7938" width="9.453125" style="398" bestFit="1" customWidth="1"/>
    <col min="7939" max="7939" width="21.6328125" style="398" customWidth="1"/>
    <col min="7940" max="7940" width="57.36328125" style="398" customWidth="1"/>
    <col min="7941" max="7941" width="73.453125" style="398" customWidth="1"/>
    <col min="7942" max="7942" width="70.6328125" style="398" bestFit="1" customWidth="1"/>
    <col min="7943" max="8192" width="9" style="398"/>
    <col min="8193" max="8193" width="9.08984375" style="398" customWidth="1"/>
    <col min="8194" max="8194" width="9.453125" style="398" bestFit="1" customWidth="1"/>
    <col min="8195" max="8195" width="21.6328125" style="398" customWidth="1"/>
    <col min="8196" max="8196" width="57.36328125" style="398" customWidth="1"/>
    <col min="8197" max="8197" width="73.453125" style="398" customWidth="1"/>
    <col min="8198" max="8198" width="70.6328125" style="398" bestFit="1" customWidth="1"/>
    <col min="8199" max="8448" width="9" style="398"/>
    <col min="8449" max="8449" width="9.08984375" style="398" customWidth="1"/>
    <col min="8450" max="8450" width="9.453125" style="398" bestFit="1" customWidth="1"/>
    <col min="8451" max="8451" width="21.6328125" style="398" customWidth="1"/>
    <col min="8452" max="8452" width="57.36328125" style="398" customWidth="1"/>
    <col min="8453" max="8453" width="73.453125" style="398" customWidth="1"/>
    <col min="8454" max="8454" width="70.6328125" style="398" bestFit="1" customWidth="1"/>
    <col min="8455" max="8704" width="9" style="398"/>
    <col min="8705" max="8705" width="9.08984375" style="398" customWidth="1"/>
    <col min="8706" max="8706" width="9.453125" style="398" bestFit="1" customWidth="1"/>
    <col min="8707" max="8707" width="21.6328125" style="398" customWidth="1"/>
    <col min="8708" max="8708" width="57.36328125" style="398" customWidth="1"/>
    <col min="8709" max="8709" width="73.453125" style="398" customWidth="1"/>
    <col min="8710" max="8710" width="70.6328125" style="398" bestFit="1" customWidth="1"/>
    <col min="8711" max="8960" width="9" style="398"/>
    <col min="8961" max="8961" width="9.08984375" style="398" customWidth="1"/>
    <col min="8962" max="8962" width="9.453125" style="398" bestFit="1" customWidth="1"/>
    <col min="8963" max="8963" width="21.6328125" style="398" customWidth="1"/>
    <col min="8964" max="8964" width="57.36328125" style="398" customWidth="1"/>
    <col min="8965" max="8965" width="73.453125" style="398" customWidth="1"/>
    <col min="8966" max="8966" width="70.6328125" style="398" bestFit="1" customWidth="1"/>
    <col min="8967" max="9216" width="9" style="398"/>
    <col min="9217" max="9217" width="9.08984375" style="398" customWidth="1"/>
    <col min="9218" max="9218" width="9.453125" style="398" bestFit="1" customWidth="1"/>
    <col min="9219" max="9219" width="21.6328125" style="398" customWidth="1"/>
    <col min="9220" max="9220" width="57.36328125" style="398" customWidth="1"/>
    <col min="9221" max="9221" width="73.453125" style="398" customWidth="1"/>
    <col min="9222" max="9222" width="70.6328125" style="398" bestFit="1" customWidth="1"/>
    <col min="9223" max="9472" width="9" style="398"/>
    <col min="9473" max="9473" width="9.08984375" style="398" customWidth="1"/>
    <col min="9474" max="9474" width="9.453125" style="398" bestFit="1" customWidth="1"/>
    <col min="9475" max="9475" width="21.6328125" style="398" customWidth="1"/>
    <col min="9476" max="9476" width="57.36328125" style="398" customWidth="1"/>
    <col min="9477" max="9477" width="73.453125" style="398" customWidth="1"/>
    <col min="9478" max="9478" width="70.6328125" style="398" bestFit="1" customWidth="1"/>
    <col min="9479" max="9728" width="9" style="398"/>
    <col min="9729" max="9729" width="9.08984375" style="398" customWidth="1"/>
    <col min="9730" max="9730" width="9.453125" style="398" bestFit="1" customWidth="1"/>
    <col min="9731" max="9731" width="21.6328125" style="398" customWidth="1"/>
    <col min="9732" max="9732" width="57.36328125" style="398" customWidth="1"/>
    <col min="9733" max="9733" width="73.453125" style="398" customWidth="1"/>
    <col min="9734" max="9734" width="70.6328125" style="398" bestFit="1" customWidth="1"/>
    <col min="9735" max="9984" width="9" style="398"/>
    <col min="9985" max="9985" width="9.08984375" style="398" customWidth="1"/>
    <col min="9986" max="9986" width="9.453125" style="398" bestFit="1" customWidth="1"/>
    <col min="9987" max="9987" width="21.6328125" style="398" customWidth="1"/>
    <col min="9988" max="9988" width="57.36328125" style="398" customWidth="1"/>
    <col min="9989" max="9989" width="73.453125" style="398" customWidth="1"/>
    <col min="9990" max="9990" width="70.6328125" style="398" bestFit="1" customWidth="1"/>
    <col min="9991" max="10240" width="9" style="398"/>
    <col min="10241" max="10241" width="9.08984375" style="398" customWidth="1"/>
    <col min="10242" max="10242" width="9.453125" style="398" bestFit="1" customWidth="1"/>
    <col min="10243" max="10243" width="21.6328125" style="398" customWidth="1"/>
    <col min="10244" max="10244" width="57.36328125" style="398" customWidth="1"/>
    <col min="10245" max="10245" width="73.453125" style="398" customWidth="1"/>
    <col min="10246" max="10246" width="70.6328125" style="398" bestFit="1" customWidth="1"/>
    <col min="10247" max="10496" width="9" style="398"/>
    <col min="10497" max="10497" width="9.08984375" style="398" customWidth="1"/>
    <col min="10498" max="10498" width="9.453125" style="398" bestFit="1" customWidth="1"/>
    <col min="10499" max="10499" width="21.6328125" style="398" customWidth="1"/>
    <col min="10500" max="10500" width="57.36328125" style="398" customWidth="1"/>
    <col min="10501" max="10501" width="73.453125" style="398" customWidth="1"/>
    <col min="10502" max="10502" width="70.6328125" style="398" bestFit="1" customWidth="1"/>
    <col min="10503" max="10752" width="9" style="398"/>
    <col min="10753" max="10753" width="9.08984375" style="398" customWidth="1"/>
    <col min="10754" max="10754" width="9.453125" style="398" bestFit="1" customWidth="1"/>
    <col min="10755" max="10755" width="21.6328125" style="398" customWidth="1"/>
    <col min="10756" max="10756" width="57.36328125" style="398" customWidth="1"/>
    <col min="10757" max="10757" width="73.453125" style="398" customWidth="1"/>
    <col min="10758" max="10758" width="70.6328125" style="398" bestFit="1" customWidth="1"/>
    <col min="10759" max="11008" width="9" style="398"/>
    <col min="11009" max="11009" width="9.08984375" style="398" customWidth="1"/>
    <col min="11010" max="11010" width="9.453125" style="398" bestFit="1" customWidth="1"/>
    <col min="11011" max="11011" width="21.6328125" style="398" customWidth="1"/>
    <col min="11012" max="11012" width="57.36328125" style="398" customWidth="1"/>
    <col min="11013" max="11013" width="73.453125" style="398" customWidth="1"/>
    <col min="11014" max="11014" width="70.6328125" style="398" bestFit="1" customWidth="1"/>
    <col min="11015" max="11264" width="9" style="398"/>
    <col min="11265" max="11265" width="9.08984375" style="398" customWidth="1"/>
    <col min="11266" max="11266" width="9.453125" style="398" bestFit="1" customWidth="1"/>
    <col min="11267" max="11267" width="21.6328125" style="398" customWidth="1"/>
    <col min="11268" max="11268" width="57.36328125" style="398" customWidth="1"/>
    <col min="11269" max="11269" width="73.453125" style="398" customWidth="1"/>
    <col min="11270" max="11270" width="70.6328125" style="398" bestFit="1" customWidth="1"/>
    <col min="11271" max="11520" width="9" style="398"/>
    <col min="11521" max="11521" width="9.08984375" style="398" customWidth="1"/>
    <col min="11522" max="11522" width="9.453125" style="398" bestFit="1" customWidth="1"/>
    <col min="11523" max="11523" width="21.6328125" style="398" customWidth="1"/>
    <col min="11524" max="11524" width="57.36328125" style="398" customWidth="1"/>
    <col min="11525" max="11525" width="73.453125" style="398" customWidth="1"/>
    <col min="11526" max="11526" width="70.6328125" style="398" bestFit="1" customWidth="1"/>
    <col min="11527" max="11776" width="9" style="398"/>
    <col min="11777" max="11777" width="9.08984375" style="398" customWidth="1"/>
    <col min="11778" max="11778" width="9.453125" style="398" bestFit="1" customWidth="1"/>
    <col min="11779" max="11779" width="21.6328125" style="398" customWidth="1"/>
    <col min="11780" max="11780" width="57.36328125" style="398" customWidth="1"/>
    <col min="11781" max="11781" width="73.453125" style="398" customWidth="1"/>
    <col min="11782" max="11782" width="70.6328125" style="398" bestFit="1" customWidth="1"/>
    <col min="11783" max="12032" width="9" style="398"/>
    <col min="12033" max="12033" width="9.08984375" style="398" customWidth="1"/>
    <col min="12034" max="12034" width="9.453125" style="398" bestFit="1" customWidth="1"/>
    <col min="12035" max="12035" width="21.6328125" style="398" customWidth="1"/>
    <col min="12036" max="12036" width="57.36328125" style="398" customWidth="1"/>
    <col min="12037" max="12037" width="73.453125" style="398" customWidth="1"/>
    <col min="12038" max="12038" width="70.6328125" style="398" bestFit="1" customWidth="1"/>
    <col min="12039" max="12288" width="9" style="398"/>
    <col min="12289" max="12289" width="9.08984375" style="398" customWidth="1"/>
    <col min="12290" max="12290" width="9.453125" style="398" bestFit="1" customWidth="1"/>
    <col min="12291" max="12291" width="21.6328125" style="398" customWidth="1"/>
    <col min="12292" max="12292" width="57.36328125" style="398" customWidth="1"/>
    <col min="12293" max="12293" width="73.453125" style="398" customWidth="1"/>
    <col min="12294" max="12294" width="70.6328125" style="398" bestFit="1" customWidth="1"/>
    <col min="12295" max="12544" width="9" style="398"/>
    <col min="12545" max="12545" width="9.08984375" style="398" customWidth="1"/>
    <col min="12546" max="12546" width="9.453125" style="398" bestFit="1" customWidth="1"/>
    <col min="12547" max="12547" width="21.6328125" style="398" customWidth="1"/>
    <col min="12548" max="12548" width="57.36328125" style="398" customWidth="1"/>
    <col min="12549" max="12549" width="73.453125" style="398" customWidth="1"/>
    <col min="12550" max="12550" width="70.6328125" style="398" bestFit="1" customWidth="1"/>
    <col min="12551" max="12800" width="9" style="398"/>
    <col min="12801" max="12801" width="9.08984375" style="398" customWidth="1"/>
    <col min="12802" max="12802" width="9.453125" style="398" bestFit="1" customWidth="1"/>
    <col min="12803" max="12803" width="21.6328125" style="398" customWidth="1"/>
    <col min="12804" max="12804" width="57.36328125" style="398" customWidth="1"/>
    <col min="12805" max="12805" width="73.453125" style="398" customWidth="1"/>
    <col min="12806" max="12806" width="70.6328125" style="398" bestFit="1" customWidth="1"/>
    <col min="12807" max="13056" width="9" style="398"/>
    <col min="13057" max="13057" width="9.08984375" style="398" customWidth="1"/>
    <col min="13058" max="13058" width="9.453125" style="398" bestFit="1" customWidth="1"/>
    <col min="13059" max="13059" width="21.6328125" style="398" customWidth="1"/>
    <col min="13060" max="13060" width="57.36328125" style="398" customWidth="1"/>
    <col min="13061" max="13061" width="73.453125" style="398" customWidth="1"/>
    <col min="13062" max="13062" width="70.6328125" style="398" bestFit="1" customWidth="1"/>
    <col min="13063" max="13312" width="9" style="398"/>
    <col min="13313" max="13313" width="9.08984375" style="398" customWidth="1"/>
    <col min="13314" max="13314" width="9.453125" style="398" bestFit="1" customWidth="1"/>
    <col min="13315" max="13315" width="21.6328125" style="398" customWidth="1"/>
    <col min="13316" max="13316" width="57.36328125" style="398" customWidth="1"/>
    <col min="13317" max="13317" width="73.453125" style="398" customWidth="1"/>
    <col min="13318" max="13318" width="70.6328125" style="398" bestFit="1" customWidth="1"/>
    <col min="13319" max="13568" width="9" style="398"/>
    <col min="13569" max="13569" width="9.08984375" style="398" customWidth="1"/>
    <col min="13570" max="13570" width="9.453125" style="398" bestFit="1" customWidth="1"/>
    <col min="13571" max="13571" width="21.6328125" style="398" customWidth="1"/>
    <col min="13572" max="13572" width="57.36328125" style="398" customWidth="1"/>
    <col min="13573" max="13573" width="73.453125" style="398" customWidth="1"/>
    <col min="13574" max="13574" width="70.6328125" style="398" bestFit="1" customWidth="1"/>
    <col min="13575" max="13824" width="9" style="398"/>
    <col min="13825" max="13825" width="9.08984375" style="398" customWidth="1"/>
    <col min="13826" max="13826" width="9.453125" style="398" bestFit="1" customWidth="1"/>
    <col min="13827" max="13827" width="21.6328125" style="398" customWidth="1"/>
    <col min="13828" max="13828" width="57.36328125" style="398" customWidth="1"/>
    <col min="13829" max="13829" width="73.453125" style="398" customWidth="1"/>
    <col min="13830" max="13830" width="70.6328125" style="398" bestFit="1" customWidth="1"/>
    <col min="13831" max="14080" width="9" style="398"/>
    <col min="14081" max="14081" width="9.08984375" style="398" customWidth="1"/>
    <col min="14082" max="14082" width="9.453125" style="398" bestFit="1" customWidth="1"/>
    <col min="14083" max="14083" width="21.6328125" style="398" customWidth="1"/>
    <col min="14084" max="14084" width="57.36328125" style="398" customWidth="1"/>
    <col min="14085" max="14085" width="73.453125" style="398" customWidth="1"/>
    <col min="14086" max="14086" width="70.6328125" style="398" bestFit="1" customWidth="1"/>
    <col min="14087" max="14336" width="9" style="398"/>
    <col min="14337" max="14337" width="9.08984375" style="398" customWidth="1"/>
    <col min="14338" max="14338" width="9.453125" style="398" bestFit="1" customWidth="1"/>
    <col min="14339" max="14339" width="21.6328125" style="398" customWidth="1"/>
    <col min="14340" max="14340" width="57.36328125" style="398" customWidth="1"/>
    <col min="14341" max="14341" width="73.453125" style="398" customWidth="1"/>
    <col min="14342" max="14342" width="70.6328125" style="398" bestFit="1" customWidth="1"/>
    <col min="14343" max="14592" width="9" style="398"/>
    <col min="14593" max="14593" width="9.08984375" style="398" customWidth="1"/>
    <col min="14594" max="14594" width="9.453125" style="398" bestFit="1" customWidth="1"/>
    <col min="14595" max="14595" width="21.6328125" style="398" customWidth="1"/>
    <col min="14596" max="14596" width="57.36328125" style="398" customWidth="1"/>
    <col min="14597" max="14597" width="73.453125" style="398" customWidth="1"/>
    <col min="14598" max="14598" width="70.6328125" style="398" bestFit="1" customWidth="1"/>
    <col min="14599" max="14848" width="9" style="398"/>
    <col min="14849" max="14849" width="9.08984375" style="398" customWidth="1"/>
    <col min="14850" max="14850" width="9.453125" style="398" bestFit="1" customWidth="1"/>
    <col min="14851" max="14851" width="21.6328125" style="398" customWidth="1"/>
    <col min="14852" max="14852" width="57.36328125" style="398" customWidth="1"/>
    <col min="14853" max="14853" width="73.453125" style="398" customWidth="1"/>
    <col min="14854" max="14854" width="70.6328125" style="398" bestFit="1" customWidth="1"/>
    <col min="14855" max="15104" width="9" style="398"/>
    <col min="15105" max="15105" width="9.08984375" style="398" customWidth="1"/>
    <col min="15106" max="15106" width="9.453125" style="398" bestFit="1" customWidth="1"/>
    <col min="15107" max="15107" width="21.6328125" style="398" customWidth="1"/>
    <col min="15108" max="15108" width="57.36328125" style="398" customWidth="1"/>
    <col min="15109" max="15109" width="73.453125" style="398" customWidth="1"/>
    <col min="15110" max="15110" width="70.6328125" style="398" bestFit="1" customWidth="1"/>
    <col min="15111" max="15360" width="9" style="398"/>
    <col min="15361" max="15361" width="9.08984375" style="398" customWidth="1"/>
    <col min="15362" max="15362" width="9.453125" style="398" bestFit="1" customWidth="1"/>
    <col min="15363" max="15363" width="21.6328125" style="398" customWidth="1"/>
    <col min="15364" max="15364" width="57.36328125" style="398" customWidth="1"/>
    <col min="15365" max="15365" width="73.453125" style="398" customWidth="1"/>
    <col min="15366" max="15366" width="70.6328125" style="398" bestFit="1" customWidth="1"/>
    <col min="15367" max="15616" width="9" style="398"/>
    <col min="15617" max="15617" width="9.08984375" style="398" customWidth="1"/>
    <col min="15618" max="15618" width="9.453125" style="398" bestFit="1" customWidth="1"/>
    <col min="15619" max="15619" width="21.6328125" style="398" customWidth="1"/>
    <col min="15620" max="15620" width="57.36328125" style="398" customWidth="1"/>
    <col min="15621" max="15621" width="73.453125" style="398" customWidth="1"/>
    <col min="15622" max="15622" width="70.6328125" style="398" bestFit="1" customWidth="1"/>
    <col min="15623" max="15872" width="9" style="398"/>
    <col min="15873" max="15873" width="9.08984375" style="398" customWidth="1"/>
    <col min="15874" max="15874" width="9.453125" style="398" bestFit="1" customWidth="1"/>
    <col min="15875" max="15875" width="21.6328125" style="398" customWidth="1"/>
    <col min="15876" max="15876" width="57.36328125" style="398" customWidth="1"/>
    <col min="15877" max="15877" width="73.453125" style="398" customWidth="1"/>
    <col min="15878" max="15878" width="70.6328125" style="398" bestFit="1" customWidth="1"/>
    <col min="15879" max="16128" width="9" style="398"/>
    <col min="16129" max="16129" width="9.08984375" style="398" customWidth="1"/>
    <col min="16130" max="16130" width="9.453125" style="398" bestFit="1" customWidth="1"/>
    <col min="16131" max="16131" width="21.6328125" style="398" customWidth="1"/>
    <col min="16132" max="16132" width="57.36328125" style="398" customWidth="1"/>
    <col min="16133" max="16133" width="73.453125" style="398" customWidth="1"/>
    <col min="16134" max="16134" width="70.6328125" style="398" bestFit="1" customWidth="1"/>
    <col min="16135" max="16384" width="9" style="398"/>
  </cols>
  <sheetData>
    <row r="1" spans="1:8">
      <c r="E1" s="468" t="s">
        <v>1073</v>
      </c>
      <c r="F1" s="468" t="s">
        <v>1887</v>
      </c>
      <c r="G1" s="468" t="s">
        <v>1887</v>
      </c>
      <c r="H1" s="468" t="s">
        <v>1887</v>
      </c>
    </row>
    <row r="2" spans="1:8" ht="26.5">
      <c r="B2" s="421" t="s">
        <v>1886</v>
      </c>
    </row>
    <row r="4" spans="1:8">
      <c r="B4" s="420" t="s">
        <v>1885</v>
      </c>
      <c r="C4" s="422" t="str">
        <f ca="1">IF(G5=0,"該当する業種を一覧の中からご選択ください。",OFFSET(C6,G5,0))</f>
        <v>該当する業種を一覧の中からご選択ください。</v>
      </c>
      <c r="D4" s="424" t="str">
        <f>IF(H5=1,"チェックシートのご入力が必要です。","")</f>
        <v/>
      </c>
      <c r="G4" s="1059">
        <f ca="1">IF(G5=0,0,OFFSET(G6,G5,0))</f>
        <v>0</v>
      </c>
      <c r="H4" s="418">
        <f>【楽天Edy用記入シート】チェックシート!J3</f>
        <v>25</v>
      </c>
    </row>
    <row r="5" spans="1:8">
      <c r="G5" s="419">
        <v>0</v>
      </c>
      <c r="H5" s="425" t="str">
        <f>IF(G5=0,"",IF(VLOOKUP(G4,G7:H117,2,FALSE)="必要",1,0))</f>
        <v/>
      </c>
    </row>
    <row r="6" spans="1:8" ht="30">
      <c r="B6" s="417" t="s">
        <v>1884</v>
      </c>
      <c r="C6" s="402" t="s">
        <v>1883</v>
      </c>
      <c r="D6" s="402" t="s">
        <v>1460</v>
      </c>
      <c r="E6" s="402" t="s">
        <v>1461</v>
      </c>
      <c r="F6" s="399" t="s">
        <v>1458</v>
      </c>
      <c r="G6" s="400" t="s">
        <v>1459</v>
      </c>
      <c r="H6" s="401" t="s">
        <v>1882</v>
      </c>
    </row>
    <row r="7" spans="1:8" ht="16">
      <c r="A7" s="467"/>
      <c r="B7" s="416"/>
      <c r="C7" s="408" t="s">
        <v>1465</v>
      </c>
      <c r="D7" s="408" t="s">
        <v>1466</v>
      </c>
      <c r="E7" s="408" t="s">
        <v>1880</v>
      </c>
      <c r="F7" s="398" t="s">
        <v>1879</v>
      </c>
      <c r="G7" s="403" t="s">
        <v>1463</v>
      </c>
      <c r="H7" s="411"/>
    </row>
    <row r="8" spans="1:8" ht="16">
      <c r="A8" s="467"/>
      <c r="B8" s="416"/>
      <c r="C8" s="408" t="s">
        <v>1468</v>
      </c>
      <c r="D8" s="408" t="s">
        <v>1469</v>
      </c>
      <c r="E8" s="408" t="s">
        <v>1470</v>
      </c>
      <c r="F8" s="398" t="s">
        <v>1462</v>
      </c>
      <c r="G8" s="404" t="s">
        <v>1467</v>
      </c>
      <c r="H8" s="411"/>
    </row>
    <row r="9" spans="1:8" ht="16">
      <c r="A9" s="467"/>
      <c r="B9" s="416"/>
      <c r="C9" s="408" t="s">
        <v>1472</v>
      </c>
      <c r="D9" s="408" t="s">
        <v>1473</v>
      </c>
      <c r="E9" s="408" t="s">
        <v>1474</v>
      </c>
      <c r="F9" s="398" t="s">
        <v>1462</v>
      </c>
      <c r="G9" s="404" t="s">
        <v>1471</v>
      </c>
      <c r="H9" s="411" t="s">
        <v>1464</v>
      </c>
    </row>
    <row r="10" spans="1:8" ht="16">
      <c r="A10" s="467"/>
      <c r="B10" s="416"/>
      <c r="C10" s="408" t="s">
        <v>1476</v>
      </c>
      <c r="D10" s="408" t="s">
        <v>1477</v>
      </c>
      <c r="E10" s="408" t="s">
        <v>1470</v>
      </c>
      <c r="F10" s="398" t="s">
        <v>1462</v>
      </c>
      <c r="G10" s="404" t="s">
        <v>1475</v>
      </c>
      <c r="H10" s="411" t="s">
        <v>1464</v>
      </c>
    </row>
    <row r="11" spans="1:8" ht="16">
      <c r="A11" s="467"/>
      <c r="B11" s="416"/>
      <c r="C11" s="408" t="s">
        <v>1479</v>
      </c>
      <c r="D11" s="408" t="s">
        <v>1480</v>
      </c>
      <c r="E11" s="408" t="s">
        <v>1470</v>
      </c>
      <c r="F11" s="398" t="s">
        <v>1462</v>
      </c>
      <c r="G11" s="404" t="s">
        <v>1478</v>
      </c>
      <c r="H11" s="411" t="s">
        <v>1464</v>
      </c>
    </row>
    <row r="12" spans="1:8" ht="16">
      <c r="A12" s="467"/>
      <c r="B12" s="416"/>
      <c r="C12" s="408" t="s">
        <v>1482</v>
      </c>
      <c r="D12" s="408" t="s">
        <v>1483</v>
      </c>
      <c r="E12" s="408" t="s">
        <v>1484</v>
      </c>
      <c r="F12" s="398" t="s">
        <v>1462</v>
      </c>
      <c r="G12" s="404" t="s">
        <v>1481</v>
      </c>
      <c r="H12" s="411" t="s">
        <v>1464</v>
      </c>
    </row>
    <row r="13" spans="1:8" ht="16">
      <c r="A13" s="467"/>
      <c r="B13" s="416"/>
      <c r="C13" s="408" t="s">
        <v>1487</v>
      </c>
      <c r="D13" s="412" t="s">
        <v>1488</v>
      </c>
      <c r="E13" s="408" t="s">
        <v>1470</v>
      </c>
      <c r="F13" s="398" t="s">
        <v>1462</v>
      </c>
      <c r="G13" s="404" t="s">
        <v>1485</v>
      </c>
      <c r="H13" s="411" t="s">
        <v>1486</v>
      </c>
    </row>
    <row r="14" spans="1:8" ht="16">
      <c r="A14" s="467"/>
      <c r="B14" s="416"/>
      <c r="C14" s="408" t="s">
        <v>1490</v>
      </c>
      <c r="D14" s="408" t="s">
        <v>1491</v>
      </c>
      <c r="E14" s="408" t="s">
        <v>1492</v>
      </c>
      <c r="F14" s="398" t="s">
        <v>1462</v>
      </c>
      <c r="G14" s="404" t="s">
        <v>1489</v>
      </c>
      <c r="H14" s="411" t="s">
        <v>1890</v>
      </c>
    </row>
    <row r="15" spans="1:8" ht="16">
      <c r="A15" s="467"/>
      <c r="B15" s="416"/>
      <c r="C15" s="408" t="s">
        <v>1493</v>
      </c>
      <c r="D15" s="408" t="s">
        <v>1494</v>
      </c>
      <c r="E15" s="408" t="s">
        <v>1878</v>
      </c>
      <c r="F15" s="398" t="s">
        <v>1462</v>
      </c>
      <c r="G15" s="404" t="s">
        <v>1881</v>
      </c>
      <c r="H15" s="411" t="s">
        <v>1464</v>
      </c>
    </row>
    <row r="16" spans="1:8" ht="16">
      <c r="A16" s="467"/>
      <c r="B16" s="416"/>
      <c r="C16" s="408" t="s">
        <v>1495</v>
      </c>
      <c r="D16" s="408" t="s">
        <v>1496</v>
      </c>
      <c r="E16" s="408" t="s">
        <v>1497</v>
      </c>
      <c r="F16" s="398" t="s">
        <v>1462</v>
      </c>
      <c r="G16" s="405" t="s">
        <v>1877</v>
      </c>
      <c r="H16" s="411" t="s">
        <v>1464</v>
      </c>
    </row>
    <row r="17" spans="1:8" ht="16">
      <c r="A17" s="467"/>
      <c r="B17" s="416"/>
      <c r="C17" s="408" t="s">
        <v>1499</v>
      </c>
      <c r="D17" s="408" t="s">
        <v>1500</v>
      </c>
      <c r="E17" s="408" t="s">
        <v>1470</v>
      </c>
      <c r="F17" s="398" t="s">
        <v>1462</v>
      </c>
      <c r="G17" s="404" t="s">
        <v>1498</v>
      </c>
      <c r="H17" s="411" t="s">
        <v>1464</v>
      </c>
    </row>
    <row r="18" spans="1:8" ht="16">
      <c r="A18" s="467"/>
      <c r="B18" s="416"/>
      <c r="C18" s="408" t="s">
        <v>1502</v>
      </c>
      <c r="D18" s="408" t="s">
        <v>1503</v>
      </c>
      <c r="E18" s="408" t="s">
        <v>1504</v>
      </c>
      <c r="F18" s="398" t="s">
        <v>1462</v>
      </c>
      <c r="G18" s="404" t="s">
        <v>1501</v>
      </c>
      <c r="H18" s="411" t="s">
        <v>1464</v>
      </c>
    </row>
    <row r="19" spans="1:8" ht="16">
      <c r="A19" s="467"/>
      <c r="B19" s="416"/>
      <c r="C19" s="408" t="s">
        <v>1506</v>
      </c>
      <c r="D19" s="408" t="s">
        <v>1507</v>
      </c>
      <c r="E19" s="408" t="s">
        <v>1470</v>
      </c>
      <c r="F19" s="398" t="s">
        <v>1462</v>
      </c>
      <c r="G19" s="404" t="s">
        <v>1505</v>
      </c>
      <c r="H19" s="411" t="s">
        <v>1464</v>
      </c>
    </row>
    <row r="20" spans="1:8" ht="16">
      <c r="A20" s="467"/>
      <c r="B20" s="416"/>
      <c r="C20" s="408" t="s">
        <v>1509</v>
      </c>
      <c r="D20" s="408" t="s">
        <v>1510</v>
      </c>
      <c r="E20" s="408" t="s">
        <v>1511</v>
      </c>
      <c r="F20" s="398" t="s">
        <v>1462</v>
      </c>
      <c r="G20" s="404" t="s">
        <v>1508</v>
      </c>
      <c r="H20" s="411" t="s">
        <v>1464</v>
      </c>
    </row>
    <row r="21" spans="1:8" ht="16">
      <c r="A21" s="467"/>
      <c r="B21" s="416"/>
      <c r="C21" s="408" t="s">
        <v>1513</v>
      </c>
      <c r="D21" s="408" t="s">
        <v>1514</v>
      </c>
      <c r="E21" s="408" t="s">
        <v>1515</v>
      </c>
      <c r="F21" s="398" t="s">
        <v>1462</v>
      </c>
      <c r="G21" s="404" t="s">
        <v>1512</v>
      </c>
      <c r="H21" s="411" t="s">
        <v>1464</v>
      </c>
    </row>
    <row r="22" spans="1:8" ht="16">
      <c r="A22" s="467"/>
      <c r="B22" s="416"/>
      <c r="C22" s="408" t="s">
        <v>1517</v>
      </c>
      <c r="D22" s="408" t="s">
        <v>1518</v>
      </c>
      <c r="E22" s="408" t="s">
        <v>1519</v>
      </c>
      <c r="F22" s="398" t="s">
        <v>1462</v>
      </c>
      <c r="G22" s="404" t="s">
        <v>1516</v>
      </c>
      <c r="H22" s="411" t="s">
        <v>1464</v>
      </c>
    </row>
    <row r="23" spans="1:8" ht="16">
      <c r="A23" s="467"/>
      <c r="B23" s="416"/>
      <c r="C23" s="408" t="s">
        <v>1521</v>
      </c>
      <c r="D23" s="408" t="s">
        <v>1522</v>
      </c>
      <c r="E23" s="408" t="s">
        <v>1523</v>
      </c>
      <c r="F23" s="398" t="s">
        <v>1462</v>
      </c>
      <c r="G23" s="404" t="s">
        <v>1520</v>
      </c>
      <c r="H23" s="411" t="s">
        <v>1464</v>
      </c>
    </row>
    <row r="24" spans="1:8" ht="16">
      <c r="A24" s="467"/>
      <c r="B24" s="416"/>
      <c r="C24" s="408" t="s">
        <v>1525</v>
      </c>
      <c r="D24" s="408" t="s">
        <v>1526</v>
      </c>
      <c r="E24" s="408" t="s">
        <v>1527</v>
      </c>
      <c r="F24" s="398" t="s">
        <v>1462</v>
      </c>
      <c r="G24" s="404" t="s">
        <v>1524</v>
      </c>
      <c r="H24" s="411" t="s">
        <v>1464</v>
      </c>
    </row>
    <row r="25" spans="1:8" ht="16">
      <c r="A25" s="467"/>
      <c r="B25" s="416"/>
      <c r="C25" s="408" t="s">
        <v>1529</v>
      </c>
      <c r="D25" s="408" t="s">
        <v>1530</v>
      </c>
      <c r="E25" s="408" t="s">
        <v>1531</v>
      </c>
      <c r="F25" s="398" t="s">
        <v>1462</v>
      </c>
      <c r="G25" s="406" t="s">
        <v>1528</v>
      </c>
      <c r="H25" s="411" t="s">
        <v>1464</v>
      </c>
    </row>
    <row r="26" spans="1:8" ht="16">
      <c r="A26" s="467"/>
      <c r="B26" s="416"/>
      <c r="C26" s="408" t="s">
        <v>1533</v>
      </c>
      <c r="D26" s="408" t="s">
        <v>1534</v>
      </c>
      <c r="E26" s="408" t="s">
        <v>1535</v>
      </c>
      <c r="F26" s="398" t="s">
        <v>1462</v>
      </c>
      <c r="G26" s="404" t="s">
        <v>1532</v>
      </c>
      <c r="H26" s="411" t="s">
        <v>1464</v>
      </c>
    </row>
    <row r="27" spans="1:8" ht="16">
      <c r="A27" s="467"/>
      <c r="B27" s="416"/>
      <c r="C27" s="408" t="s">
        <v>1537</v>
      </c>
      <c r="D27" s="408" t="s">
        <v>1538</v>
      </c>
      <c r="E27" s="408" t="s">
        <v>1539</v>
      </c>
      <c r="F27" s="398" t="s">
        <v>1462</v>
      </c>
      <c r="G27" s="404" t="s">
        <v>1536</v>
      </c>
      <c r="H27" s="411" t="s">
        <v>1464</v>
      </c>
    </row>
    <row r="28" spans="1:8" ht="16">
      <c r="A28" s="467"/>
      <c r="B28" s="416"/>
      <c r="C28" s="408" t="s">
        <v>1541</v>
      </c>
      <c r="D28" s="408" t="s">
        <v>1542</v>
      </c>
      <c r="E28" s="408" t="s">
        <v>1543</v>
      </c>
      <c r="F28" s="398" t="s">
        <v>1462</v>
      </c>
      <c r="G28" s="404" t="s">
        <v>1540</v>
      </c>
      <c r="H28" s="411" t="s">
        <v>1464</v>
      </c>
    </row>
    <row r="29" spans="1:8" ht="16">
      <c r="A29" s="467"/>
      <c r="B29" s="416"/>
      <c r="C29" s="408" t="s">
        <v>1545</v>
      </c>
      <c r="D29" s="408" t="s">
        <v>1546</v>
      </c>
      <c r="E29" s="408" t="s">
        <v>1470</v>
      </c>
      <c r="F29" s="398" t="s">
        <v>1462</v>
      </c>
      <c r="G29" s="404" t="s">
        <v>1544</v>
      </c>
      <c r="H29" s="411" t="s">
        <v>1464</v>
      </c>
    </row>
    <row r="30" spans="1:8" ht="16">
      <c r="A30" s="467"/>
      <c r="B30" s="416"/>
      <c r="C30" s="408" t="s">
        <v>1548</v>
      </c>
      <c r="D30" s="408" t="s">
        <v>1549</v>
      </c>
      <c r="E30" s="408" t="s">
        <v>1550</v>
      </c>
      <c r="F30" s="398" t="s">
        <v>1462</v>
      </c>
      <c r="G30" s="404" t="s">
        <v>1547</v>
      </c>
      <c r="H30" s="411" t="s">
        <v>1464</v>
      </c>
    </row>
    <row r="31" spans="1:8" ht="16">
      <c r="A31" s="467"/>
      <c r="B31" s="416"/>
      <c r="C31" s="408" t="s">
        <v>1552</v>
      </c>
      <c r="D31" s="408" t="s">
        <v>1553</v>
      </c>
      <c r="E31" s="408" t="s">
        <v>1470</v>
      </c>
      <c r="F31" s="398" t="s">
        <v>1462</v>
      </c>
      <c r="G31" s="404" t="s">
        <v>1551</v>
      </c>
      <c r="H31" s="411" t="s">
        <v>1464</v>
      </c>
    </row>
    <row r="32" spans="1:8" ht="16">
      <c r="A32" s="467"/>
      <c r="B32" s="416"/>
      <c r="C32" s="408" t="s">
        <v>1555</v>
      </c>
      <c r="D32" s="408" t="s">
        <v>1556</v>
      </c>
      <c r="E32" s="408" t="s">
        <v>1557</v>
      </c>
      <c r="F32" s="398" t="s">
        <v>1462</v>
      </c>
      <c r="G32" s="404" t="s">
        <v>1554</v>
      </c>
      <c r="H32" s="411" t="s">
        <v>1464</v>
      </c>
    </row>
    <row r="33" spans="1:8" ht="16">
      <c r="A33" s="467"/>
      <c r="B33" s="416"/>
      <c r="C33" s="408" t="s">
        <v>1559</v>
      </c>
      <c r="D33" s="408" t="s">
        <v>1560</v>
      </c>
      <c r="E33" s="408" t="s">
        <v>1561</v>
      </c>
      <c r="F33" s="398" t="s">
        <v>1462</v>
      </c>
      <c r="G33" s="404" t="s">
        <v>1558</v>
      </c>
      <c r="H33" s="411" t="s">
        <v>1464</v>
      </c>
    </row>
    <row r="34" spans="1:8" ht="16">
      <c r="A34" s="467"/>
      <c r="B34" s="416"/>
      <c r="C34" s="408" t="s">
        <v>1563</v>
      </c>
      <c r="D34" s="408" t="s">
        <v>1564</v>
      </c>
      <c r="E34" s="408" t="s">
        <v>1565</v>
      </c>
      <c r="F34" s="398" t="s">
        <v>1462</v>
      </c>
      <c r="G34" s="404" t="s">
        <v>1562</v>
      </c>
      <c r="H34" s="411" t="s">
        <v>1464</v>
      </c>
    </row>
    <row r="35" spans="1:8" ht="16">
      <c r="A35" s="467"/>
      <c r="B35" s="416"/>
      <c r="C35" s="408" t="s">
        <v>1567</v>
      </c>
      <c r="D35" s="408" t="s">
        <v>1568</v>
      </c>
      <c r="E35" s="413"/>
      <c r="F35" s="398" t="s">
        <v>1462</v>
      </c>
      <c r="G35" s="404" t="s">
        <v>1566</v>
      </c>
      <c r="H35" s="411" t="s">
        <v>1486</v>
      </c>
    </row>
    <row r="36" spans="1:8" ht="16">
      <c r="A36" s="467"/>
      <c r="B36" s="416"/>
      <c r="C36" s="408" t="s">
        <v>1570</v>
      </c>
      <c r="D36" s="412" t="s">
        <v>1571</v>
      </c>
      <c r="E36" s="408" t="s">
        <v>1470</v>
      </c>
      <c r="F36" s="398" t="s">
        <v>1462</v>
      </c>
      <c r="G36" s="404" t="s">
        <v>1569</v>
      </c>
      <c r="H36" s="411" t="s">
        <v>1464</v>
      </c>
    </row>
    <row r="37" spans="1:8" ht="16">
      <c r="A37" s="467"/>
      <c r="B37" s="416"/>
      <c r="C37" s="408" t="s">
        <v>1573</v>
      </c>
      <c r="D37" s="408" t="s">
        <v>1574</v>
      </c>
      <c r="E37" s="408" t="s">
        <v>1575</v>
      </c>
      <c r="F37" s="398" t="s">
        <v>1462</v>
      </c>
      <c r="G37" s="404" t="s">
        <v>1572</v>
      </c>
      <c r="H37" s="411" t="s">
        <v>1464</v>
      </c>
    </row>
    <row r="38" spans="1:8" ht="16">
      <c r="A38" s="467"/>
      <c r="B38" s="416"/>
      <c r="C38" s="408" t="s">
        <v>1577</v>
      </c>
      <c r="D38" s="408" t="s">
        <v>1578</v>
      </c>
      <c r="E38" s="408" t="s">
        <v>1470</v>
      </c>
      <c r="F38" s="398" t="s">
        <v>1462</v>
      </c>
      <c r="G38" s="404" t="s">
        <v>1576</v>
      </c>
      <c r="H38" s="411" t="s">
        <v>1486</v>
      </c>
    </row>
    <row r="39" spans="1:8" ht="16">
      <c r="A39" s="467"/>
      <c r="B39" s="416"/>
      <c r="C39" s="408" t="s">
        <v>1580</v>
      </c>
      <c r="D39" s="408" t="s">
        <v>1581</v>
      </c>
      <c r="E39" s="408" t="s">
        <v>1470</v>
      </c>
      <c r="F39" s="398" t="s">
        <v>1462</v>
      </c>
      <c r="G39" s="404" t="s">
        <v>1579</v>
      </c>
      <c r="H39" s="411" t="s">
        <v>1464</v>
      </c>
    </row>
    <row r="40" spans="1:8" ht="16">
      <c r="A40" s="467"/>
      <c r="B40" s="416"/>
      <c r="C40" s="408" t="s">
        <v>1583</v>
      </c>
      <c r="D40" s="408" t="s">
        <v>1584</v>
      </c>
      <c r="E40" s="408" t="s">
        <v>1585</v>
      </c>
      <c r="F40" s="398" t="s">
        <v>1462</v>
      </c>
      <c r="G40" s="404" t="s">
        <v>1582</v>
      </c>
      <c r="H40" s="411" t="s">
        <v>1464</v>
      </c>
    </row>
    <row r="41" spans="1:8" ht="16">
      <c r="A41" s="467"/>
      <c r="B41" s="416"/>
      <c r="C41" s="408" t="s">
        <v>1587</v>
      </c>
      <c r="D41" s="408" t="s">
        <v>1588</v>
      </c>
      <c r="E41" s="408" t="s">
        <v>1589</v>
      </c>
      <c r="F41" s="398" t="s">
        <v>1462</v>
      </c>
      <c r="G41" s="404" t="s">
        <v>1586</v>
      </c>
      <c r="H41" s="411" t="s">
        <v>1464</v>
      </c>
    </row>
    <row r="42" spans="1:8" ht="16">
      <c r="A42" s="467"/>
      <c r="B42" s="416"/>
      <c r="C42" s="408" t="s">
        <v>1591</v>
      </c>
      <c r="D42" s="408" t="s">
        <v>1592</v>
      </c>
      <c r="E42" s="408" t="s">
        <v>1470</v>
      </c>
      <c r="F42" s="398" t="s">
        <v>1462</v>
      </c>
      <c r="G42" s="404" t="s">
        <v>1590</v>
      </c>
      <c r="H42" s="411" t="s">
        <v>1464</v>
      </c>
    </row>
    <row r="43" spans="1:8" ht="16">
      <c r="A43" s="467"/>
      <c r="B43" s="416"/>
      <c r="C43" s="408" t="s">
        <v>1595</v>
      </c>
      <c r="D43" s="408" t="s">
        <v>1596</v>
      </c>
      <c r="E43" s="408" t="s">
        <v>1470</v>
      </c>
      <c r="F43" s="398" t="s">
        <v>1593</v>
      </c>
      <c r="G43" s="404" t="s">
        <v>1594</v>
      </c>
      <c r="H43" s="411" t="s">
        <v>1486</v>
      </c>
    </row>
    <row r="44" spans="1:8" ht="16">
      <c r="A44" s="467"/>
      <c r="B44" s="416"/>
      <c r="C44" s="408" t="s">
        <v>1598</v>
      </c>
      <c r="D44" s="408" t="s">
        <v>1599</v>
      </c>
      <c r="E44" s="408" t="s">
        <v>1470</v>
      </c>
      <c r="F44" s="398" t="s">
        <v>1462</v>
      </c>
      <c r="G44" s="404" t="s">
        <v>1597</v>
      </c>
      <c r="H44" s="411" t="s">
        <v>1464</v>
      </c>
    </row>
    <row r="45" spans="1:8" ht="16">
      <c r="A45" s="467"/>
      <c r="B45" s="416"/>
      <c r="C45" s="408" t="s">
        <v>1601</v>
      </c>
      <c r="D45" s="408" t="s">
        <v>1602</v>
      </c>
      <c r="E45" s="408" t="s">
        <v>1470</v>
      </c>
      <c r="F45" s="398" t="s">
        <v>1462</v>
      </c>
      <c r="G45" s="404" t="s">
        <v>1600</v>
      </c>
      <c r="H45" s="411" t="s">
        <v>1464</v>
      </c>
    </row>
    <row r="46" spans="1:8" ht="16">
      <c r="A46" s="467"/>
      <c r="B46" s="416"/>
      <c r="C46" s="408" t="s">
        <v>1604</v>
      </c>
      <c r="D46" s="408" t="s">
        <v>1605</v>
      </c>
      <c r="E46" s="408" t="s">
        <v>1470</v>
      </c>
      <c r="F46" s="398" t="s">
        <v>1462</v>
      </c>
      <c r="G46" s="404" t="s">
        <v>1603</v>
      </c>
      <c r="H46" s="411" t="s">
        <v>1464</v>
      </c>
    </row>
    <row r="47" spans="1:8" ht="16">
      <c r="A47" s="467"/>
      <c r="B47" s="416"/>
      <c r="C47" s="408" t="s">
        <v>1607</v>
      </c>
      <c r="D47" s="408" t="s">
        <v>1608</v>
      </c>
      <c r="E47" s="408" t="s">
        <v>1470</v>
      </c>
      <c r="F47" s="398" t="s">
        <v>1462</v>
      </c>
      <c r="G47" s="404" t="s">
        <v>1606</v>
      </c>
      <c r="H47" s="411" t="s">
        <v>1486</v>
      </c>
    </row>
    <row r="48" spans="1:8" ht="16">
      <c r="A48" s="467"/>
      <c r="B48" s="416"/>
      <c r="C48" s="408" t="s">
        <v>1610</v>
      </c>
      <c r="D48" s="408" t="s">
        <v>1611</v>
      </c>
      <c r="E48" s="408" t="s">
        <v>1470</v>
      </c>
      <c r="F48" s="398" t="s">
        <v>1462</v>
      </c>
      <c r="G48" s="404" t="s">
        <v>1609</v>
      </c>
      <c r="H48" s="411" t="s">
        <v>1486</v>
      </c>
    </row>
    <row r="49" spans="1:8" ht="16">
      <c r="A49" s="467"/>
      <c r="B49" s="416"/>
      <c r="C49" s="408" t="s">
        <v>1613</v>
      </c>
      <c r="D49" s="408" t="s">
        <v>1614</v>
      </c>
      <c r="E49" s="408" t="s">
        <v>1470</v>
      </c>
      <c r="F49" s="398" t="s">
        <v>1462</v>
      </c>
      <c r="G49" s="404" t="s">
        <v>1612</v>
      </c>
      <c r="H49" s="411" t="s">
        <v>1464</v>
      </c>
    </row>
    <row r="50" spans="1:8" ht="16">
      <c r="A50" s="467"/>
      <c r="B50" s="416"/>
      <c r="C50" s="408" t="s">
        <v>1616</v>
      </c>
      <c r="D50" s="408" t="s">
        <v>1617</v>
      </c>
      <c r="E50" s="408" t="s">
        <v>1618</v>
      </c>
      <c r="F50" s="398" t="s">
        <v>1462</v>
      </c>
      <c r="G50" s="404" t="s">
        <v>1615</v>
      </c>
      <c r="H50" s="411" t="s">
        <v>1464</v>
      </c>
    </row>
    <row r="51" spans="1:8" ht="30">
      <c r="A51" s="467"/>
      <c r="B51" s="416"/>
      <c r="C51" s="408" t="s">
        <v>1620</v>
      </c>
      <c r="D51" s="412" t="s">
        <v>1621</v>
      </c>
      <c r="E51" s="464"/>
      <c r="F51" s="398" t="s">
        <v>1462</v>
      </c>
      <c r="G51" s="403" t="s">
        <v>1619</v>
      </c>
      <c r="H51" s="411" t="s">
        <v>1464</v>
      </c>
    </row>
    <row r="52" spans="1:8" ht="16">
      <c r="A52" s="467"/>
      <c r="B52" s="416"/>
      <c r="C52" s="408" t="s">
        <v>1623</v>
      </c>
      <c r="D52" s="408"/>
      <c r="E52" s="408"/>
      <c r="F52" s="398" t="s">
        <v>1462</v>
      </c>
      <c r="G52" s="404" t="s">
        <v>1622</v>
      </c>
      <c r="H52" s="411" t="s">
        <v>1464</v>
      </c>
    </row>
    <row r="53" spans="1:8" ht="16">
      <c r="A53" s="467"/>
      <c r="B53" s="416"/>
      <c r="C53" s="408" t="s">
        <v>1625</v>
      </c>
      <c r="D53" s="408" t="s">
        <v>1626</v>
      </c>
      <c r="E53" s="408" t="s">
        <v>1470</v>
      </c>
      <c r="F53" s="398" t="s">
        <v>1462</v>
      </c>
      <c r="G53" s="404" t="s">
        <v>1624</v>
      </c>
      <c r="H53" s="411" t="s">
        <v>1464</v>
      </c>
    </row>
    <row r="54" spans="1:8" ht="31.5" customHeight="1">
      <c r="A54" s="467"/>
      <c r="B54" s="416"/>
      <c r="C54" s="408" t="s">
        <v>1954</v>
      </c>
      <c r="D54" s="412" t="s">
        <v>1627</v>
      </c>
      <c r="E54" s="408" t="s">
        <v>1955</v>
      </c>
      <c r="F54" s="398" t="s">
        <v>1888</v>
      </c>
      <c r="G54" s="404" t="s">
        <v>1889</v>
      </c>
      <c r="H54" s="411" t="s">
        <v>1464</v>
      </c>
    </row>
    <row r="55" spans="1:8" ht="16">
      <c r="A55" s="467"/>
      <c r="B55" s="416"/>
      <c r="C55" s="408" t="s">
        <v>1629</v>
      </c>
      <c r="D55" s="408" t="s">
        <v>1630</v>
      </c>
      <c r="E55" s="408" t="s">
        <v>1631</v>
      </c>
      <c r="F55" s="398" t="s">
        <v>1462</v>
      </c>
      <c r="G55" s="404" t="s">
        <v>1628</v>
      </c>
      <c r="H55" s="411" t="s">
        <v>1464</v>
      </c>
    </row>
    <row r="56" spans="1:8" ht="16">
      <c r="A56" s="467"/>
      <c r="B56" s="416"/>
      <c r="C56" s="408" t="s">
        <v>1633</v>
      </c>
      <c r="D56" s="408" t="s">
        <v>1634</v>
      </c>
      <c r="E56" s="408" t="s">
        <v>1470</v>
      </c>
      <c r="F56" s="398" t="s">
        <v>1462</v>
      </c>
      <c r="G56" s="404" t="s">
        <v>1632</v>
      </c>
      <c r="H56" s="411" t="s">
        <v>1486</v>
      </c>
    </row>
    <row r="57" spans="1:8" ht="16">
      <c r="A57" s="467"/>
      <c r="B57" s="416"/>
      <c r="C57" s="408" t="s">
        <v>1636</v>
      </c>
      <c r="D57" s="408" t="s">
        <v>1637</v>
      </c>
      <c r="E57" s="408" t="s">
        <v>1470</v>
      </c>
      <c r="F57" s="398" t="s">
        <v>1462</v>
      </c>
      <c r="G57" s="404" t="s">
        <v>1635</v>
      </c>
      <c r="H57" s="411" t="s">
        <v>1464</v>
      </c>
    </row>
    <row r="58" spans="1:8" ht="16">
      <c r="A58" s="467"/>
      <c r="B58" s="416"/>
      <c r="C58" s="408" t="s">
        <v>1639</v>
      </c>
      <c r="D58" s="408" t="s">
        <v>1640</v>
      </c>
      <c r="E58" s="408" t="s">
        <v>1470</v>
      </c>
      <c r="F58" s="398" t="s">
        <v>1462</v>
      </c>
      <c r="G58" s="404" t="s">
        <v>1638</v>
      </c>
      <c r="H58" s="411" t="s">
        <v>1464</v>
      </c>
    </row>
    <row r="59" spans="1:8" ht="16">
      <c r="A59" s="467"/>
      <c r="B59" s="416"/>
      <c r="C59" s="408" t="s">
        <v>1642</v>
      </c>
      <c r="D59" s="408" t="s">
        <v>1643</v>
      </c>
      <c r="E59" s="408" t="s">
        <v>1644</v>
      </c>
      <c r="F59" s="398" t="s">
        <v>1462</v>
      </c>
      <c r="G59" s="404" t="s">
        <v>1641</v>
      </c>
      <c r="H59" s="411" t="s">
        <v>1464</v>
      </c>
    </row>
    <row r="60" spans="1:8" ht="16">
      <c r="A60" s="467"/>
      <c r="B60" s="416"/>
      <c r="C60" s="412" t="s">
        <v>1646</v>
      </c>
      <c r="D60" s="414" t="s">
        <v>1647</v>
      </c>
      <c r="E60" s="465" t="s">
        <v>1648</v>
      </c>
      <c r="F60" s="398" t="s">
        <v>1462</v>
      </c>
      <c r="G60" s="407" t="s">
        <v>1645</v>
      </c>
      <c r="H60" s="411" t="s">
        <v>1464</v>
      </c>
    </row>
    <row r="61" spans="1:8" ht="16">
      <c r="A61" s="467"/>
      <c r="B61" s="416"/>
      <c r="C61" s="408" t="s">
        <v>1650</v>
      </c>
      <c r="D61" s="408" t="s">
        <v>1651</v>
      </c>
      <c r="E61" s="408" t="s">
        <v>1652</v>
      </c>
      <c r="F61" s="398" t="s">
        <v>1462</v>
      </c>
      <c r="G61" s="404" t="s">
        <v>1649</v>
      </c>
      <c r="H61" s="411" t="s">
        <v>1464</v>
      </c>
    </row>
    <row r="62" spans="1:8" ht="16">
      <c r="A62" s="467"/>
      <c r="B62" s="416"/>
      <c r="C62" s="408" t="s">
        <v>1654</v>
      </c>
      <c r="D62" s="408" t="s">
        <v>1655</v>
      </c>
      <c r="E62" s="408" t="s">
        <v>1470</v>
      </c>
      <c r="F62" s="398" t="s">
        <v>1462</v>
      </c>
      <c r="G62" s="404" t="s">
        <v>1653</v>
      </c>
      <c r="H62" s="411" t="s">
        <v>1464</v>
      </c>
    </row>
    <row r="63" spans="1:8" ht="16">
      <c r="A63" s="467"/>
      <c r="B63" s="416"/>
      <c r="C63" s="408" t="s">
        <v>1657</v>
      </c>
      <c r="D63" s="408" t="s">
        <v>1658</v>
      </c>
      <c r="E63" s="408" t="s">
        <v>1470</v>
      </c>
      <c r="F63" s="398" t="s">
        <v>1462</v>
      </c>
      <c r="G63" s="405" t="s">
        <v>1656</v>
      </c>
      <c r="H63" s="411" t="s">
        <v>1464</v>
      </c>
    </row>
    <row r="64" spans="1:8" ht="16">
      <c r="A64" s="467"/>
      <c r="B64" s="416"/>
      <c r="C64" s="408" t="s">
        <v>1660</v>
      </c>
      <c r="D64" s="408" t="s">
        <v>1661</v>
      </c>
      <c r="E64" s="408" t="s">
        <v>1470</v>
      </c>
      <c r="F64" s="398" t="s">
        <v>1462</v>
      </c>
      <c r="G64" s="404" t="s">
        <v>1659</v>
      </c>
      <c r="H64" s="411" t="s">
        <v>1486</v>
      </c>
    </row>
    <row r="65" spans="1:8" ht="16">
      <c r="A65" s="467"/>
      <c r="B65" s="416"/>
      <c r="C65" s="408" t="s">
        <v>1663</v>
      </c>
      <c r="D65" s="408" t="s">
        <v>1664</v>
      </c>
      <c r="E65" s="408" t="s">
        <v>1665</v>
      </c>
      <c r="F65" s="398" t="s">
        <v>1462</v>
      </c>
      <c r="G65" s="404" t="s">
        <v>1662</v>
      </c>
      <c r="H65" s="411" t="s">
        <v>1486</v>
      </c>
    </row>
    <row r="66" spans="1:8" ht="16">
      <c r="A66" s="467"/>
      <c r="B66" s="416"/>
      <c r="C66" s="408" t="s">
        <v>1667</v>
      </c>
      <c r="D66" s="408" t="s">
        <v>1668</v>
      </c>
      <c r="E66" s="408" t="s">
        <v>1470</v>
      </c>
      <c r="F66" s="398" t="s">
        <v>1462</v>
      </c>
      <c r="G66" s="404" t="s">
        <v>1666</v>
      </c>
      <c r="H66" s="411" t="s">
        <v>1464</v>
      </c>
    </row>
    <row r="67" spans="1:8" ht="16">
      <c r="A67" s="467"/>
      <c r="B67" s="416"/>
      <c r="C67" s="408" t="s">
        <v>1670</v>
      </c>
      <c r="D67" s="408" t="s">
        <v>1671</v>
      </c>
      <c r="E67" s="408" t="s">
        <v>1672</v>
      </c>
      <c r="F67" s="398" t="s">
        <v>1462</v>
      </c>
      <c r="G67" s="404" t="s">
        <v>1669</v>
      </c>
      <c r="H67" s="411" t="s">
        <v>1464</v>
      </c>
    </row>
    <row r="68" spans="1:8" ht="16">
      <c r="A68" s="467"/>
      <c r="B68" s="416"/>
      <c r="C68" s="408" t="s">
        <v>1674</v>
      </c>
      <c r="D68" s="408" t="s">
        <v>1675</v>
      </c>
      <c r="E68" s="408" t="s">
        <v>1470</v>
      </c>
      <c r="F68" s="398" t="s">
        <v>1462</v>
      </c>
      <c r="G68" s="404" t="s">
        <v>1673</v>
      </c>
      <c r="H68" s="411" t="s">
        <v>1464</v>
      </c>
    </row>
    <row r="69" spans="1:8" ht="16">
      <c r="A69" s="467"/>
      <c r="B69" s="416"/>
      <c r="C69" s="408" t="s">
        <v>1677</v>
      </c>
      <c r="D69" s="408" t="s">
        <v>1678</v>
      </c>
      <c r="E69" s="408" t="s">
        <v>1679</v>
      </c>
      <c r="F69" s="398" t="s">
        <v>1462</v>
      </c>
      <c r="G69" s="404" t="s">
        <v>1676</v>
      </c>
      <c r="H69" s="411" t="s">
        <v>1464</v>
      </c>
    </row>
    <row r="70" spans="1:8" ht="16">
      <c r="A70" s="467"/>
      <c r="B70" s="416"/>
      <c r="C70" s="408" t="s">
        <v>1681</v>
      </c>
      <c r="D70" s="408" t="s">
        <v>1682</v>
      </c>
      <c r="E70" s="408" t="s">
        <v>1470</v>
      </c>
      <c r="F70" s="398" t="s">
        <v>1462</v>
      </c>
      <c r="G70" s="404" t="s">
        <v>1680</v>
      </c>
      <c r="H70" s="411" t="s">
        <v>1464</v>
      </c>
    </row>
    <row r="71" spans="1:8" ht="16">
      <c r="A71" s="467"/>
      <c r="B71" s="416"/>
      <c r="C71" s="408" t="s">
        <v>1684</v>
      </c>
      <c r="D71" s="408" t="s">
        <v>1685</v>
      </c>
      <c r="E71" s="408" t="s">
        <v>1470</v>
      </c>
      <c r="F71" s="398" t="s">
        <v>1462</v>
      </c>
      <c r="G71" s="404" t="s">
        <v>1683</v>
      </c>
      <c r="H71" s="411" t="s">
        <v>1464</v>
      </c>
    </row>
    <row r="72" spans="1:8" ht="16">
      <c r="A72" s="467"/>
      <c r="B72" s="416"/>
      <c r="C72" s="408" t="s">
        <v>1967</v>
      </c>
      <c r="D72" s="408" t="s">
        <v>1687</v>
      </c>
      <c r="E72" s="408" t="s">
        <v>1470</v>
      </c>
      <c r="F72" s="398" t="s">
        <v>1462</v>
      </c>
      <c r="G72" s="404" t="s">
        <v>1686</v>
      </c>
      <c r="H72" s="411" t="s">
        <v>1464</v>
      </c>
    </row>
    <row r="73" spans="1:8" ht="16">
      <c r="A73" s="467"/>
      <c r="B73" s="416"/>
      <c r="C73" s="408" t="s">
        <v>1689</v>
      </c>
      <c r="D73" s="408" t="s">
        <v>1690</v>
      </c>
      <c r="E73" s="466"/>
      <c r="F73" s="398" t="s">
        <v>1462</v>
      </c>
      <c r="G73" s="406" t="s">
        <v>1688</v>
      </c>
      <c r="H73" s="411" t="s">
        <v>1464</v>
      </c>
    </row>
    <row r="74" spans="1:8" ht="16">
      <c r="A74" s="467"/>
      <c r="B74" s="416"/>
      <c r="C74" s="408" t="s">
        <v>1692</v>
      </c>
      <c r="D74" s="408" t="s">
        <v>1693</v>
      </c>
      <c r="E74" s="408" t="s">
        <v>1470</v>
      </c>
      <c r="F74" s="398" t="s">
        <v>1462</v>
      </c>
      <c r="G74" s="404" t="s">
        <v>1691</v>
      </c>
      <c r="H74" s="411" t="s">
        <v>1464</v>
      </c>
    </row>
    <row r="75" spans="1:8" ht="16">
      <c r="A75" s="467"/>
      <c r="B75" s="416"/>
      <c r="C75" s="408" t="s">
        <v>1695</v>
      </c>
      <c r="D75" s="408" t="s">
        <v>1696</v>
      </c>
      <c r="E75" s="464"/>
      <c r="F75" s="398" t="s">
        <v>1462</v>
      </c>
      <c r="G75" s="405" t="s">
        <v>1694</v>
      </c>
      <c r="H75" s="411" t="s">
        <v>1486</v>
      </c>
    </row>
    <row r="76" spans="1:8" ht="16">
      <c r="A76" s="467"/>
      <c r="B76" s="416"/>
      <c r="C76" s="408" t="s">
        <v>1698</v>
      </c>
      <c r="D76" s="408" t="s">
        <v>1699</v>
      </c>
      <c r="E76" s="408" t="s">
        <v>1470</v>
      </c>
      <c r="F76" s="398" t="s">
        <v>1462</v>
      </c>
      <c r="G76" s="404" t="s">
        <v>1697</v>
      </c>
      <c r="H76" s="411" t="s">
        <v>1464</v>
      </c>
    </row>
    <row r="77" spans="1:8" ht="16">
      <c r="A77" s="467"/>
      <c r="B77" s="416"/>
      <c r="C77" s="408" t="s">
        <v>1701</v>
      </c>
      <c r="D77" s="408" t="s">
        <v>1702</v>
      </c>
      <c r="E77" s="408" t="s">
        <v>1470</v>
      </c>
      <c r="F77" s="398" t="s">
        <v>1462</v>
      </c>
      <c r="G77" s="404" t="s">
        <v>1700</v>
      </c>
      <c r="H77" s="411" t="s">
        <v>1464</v>
      </c>
    </row>
    <row r="78" spans="1:8" ht="16">
      <c r="A78" s="467"/>
      <c r="B78" s="416"/>
      <c r="C78" s="408" t="s">
        <v>1704</v>
      </c>
      <c r="D78" s="408"/>
      <c r="E78" s="408" t="s">
        <v>1470</v>
      </c>
      <c r="F78" s="398" t="s">
        <v>1462</v>
      </c>
      <c r="G78" s="404" t="s">
        <v>1703</v>
      </c>
      <c r="H78" s="411" t="s">
        <v>1464</v>
      </c>
    </row>
    <row r="79" spans="1:8" ht="16">
      <c r="A79" s="467"/>
      <c r="B79" s="416"/>
      <c r="C79" s="408" t="s">
        <v>1706</v>
      </c>
      <c r="D79" s="408" t="s">
        <v>1707</v>
      </c>
      <c r="E79" s="408" t="s">
        <v>1470</v>
      </c>
      <c r="F79" s="398" t="s">
        <v>1462</v>
      </c>
      <c r="G79" s="404" t="s">
        <v>1705</v>
      </c>
      <c r="H79" s="411" t="s">
        <v>1464</v>
      </c>
    </row>
    <row r="80" spans="1:8" ht="16">
      <c r="A80" s="467"/>
      <c r="B80" s="416"/>
      <c r="C80" s="408" t="s">
        <v>1709</v>
      </c>
      <c r="D80" s="408" t="s">
        <v>1710</v>
      </c>
      <c r="E80" s="408" t="s">
        <v>1470</v>
      </c>
      <c r="F80" s="398" t="s">
        <v>1462</v>
      </c>
      <c r="G80" s="404" t="s">
        <v>1708</v>
      </c>
      <c r="H80" s="411" t="s">
        <v>1464</v>
      </c>
    </row>
    <row r="81" spans="1:8" ht="16">
      <c r="A81" s="467"/>
      <c r="B81" s="416"/>
      <c r="C81" s="408" t="s">
        <v>1712</v>
      </c>
      <c r="D81" s="408" t="s">
        <v>1713</v>
      </c>
      <c r="E81" s="408" t="s">
        <v>1470</v>
      </c>
      <c r="F81" s="398" t="s">
        <v>1462</v>
      </c>
      <c r="G81" s="404" t="s">
        <v>1711</v>
      </c>
      <c r="H81" s="411" t="s">
        <v>1464</v>
      </c>
    </row>
    <row r="82" spans="1:8" ht="16">
      <c r="A82" s="467"/>
      <c r="B82" s="416"/>
      <c r="C82" s="408" t="s">
        <v>1715</v>
      </c>
      <c r="D82" s="408" t="s">
        <v>1716</v>
      </c>
      <c r="E82" s="465" t="s">
        <v>1717</v>
      </c>
      <c r="F82" s="398" t="s">
        <v>1462</v>
      </c>
      <c r="G82" s="407" t="s">
        <v>1714</v>
      </c>
      <c r="H82" s="411" t="s">
        <v>1464</v>
      </c>
    </row>
    <row r="83" spans="1:8" ht="16">
      <c r="A83" s="467"/>
      <c r="B83" s="416"/>
      <c r="C83" s="408" t="s">
        <v>1719</v>
      </c>
      <c r="D83" s="408" t="s">
        <v>1720</v>
      </c>
      <c r="E83" s="408" t="s">
        <v>1470</v>
      </c>
      <c r="F83" s="398" t="s">
        <v>1462</v>
      </c>
      <c r="G83" s="404" t="s">
        <v>1718</v>
      </c>
      <c r="H83" s="411" t="s">
        <v>1464</v>
      </c>
    </row>
    <row r="84" spans="1:8" ht="16">
      <c r="A84" s="467"/>
      <c r="B84" s="416"/>
      <c r="C84" s="408" t="s">
        <v>1722</v>
      </c>
      <c r="D84" s="408" t="s">
        <v>1723</v>
      </c>
      <c r="E84" s="408" t="s">
        <v>1470</v>
      </c>
      <c r="F84" s="398" t="s">
        <v>1462</v>
      </c>
      <c r="G84" s="404" t="s">
        <v>1721</v>
      </c>
      <c r="H84" s="411" t="s">
        <v>1464</v>
      </c>
    </row>
    <row r="85" spans="1:8" ht="16">
      <c r="A85" s="467"/>
      <c r="B85" s="416"/>
      <c r="C85" s="408" t="s">
        <v>1725</v>
      </c>
      <c r="D85" s="408" t="s">
        <v>1726</v>
      </c>
      <c r="E85" s="466"/>
      <c r="F85" s="398" t="s">
        <v>1462</v>
      </c>
      <c r="G85" s="407" t="s">
        <v>1724</v>
      </c>
      <c r="H85" s="411" t="s">
        <v>1486</v>
      </c>
    </row>
    <row r="86" spans="1:8" ht="16">
      <c r="A86" s="467"/>
      <c r="B86" s="416"/>
      <c r="C86" s="408" t="s">
        <v>1729</v>
      </c>
      <c r="D86" s="408" t="s">
        <v>1730</v>
      </c>
      <c r="E86" s="408" t="s">
        <v>1470</v>
      </c>
      <c r="F86" s="398" t="s">
        <v>1462</v>
      </c>
      <c r="G86" s="404" t="s">
        <v>1727</v>
      </c>
      <c r="H86" s="411" t="s">
        <v>1728</v>
      </c>
    </row>
    <row r="87" spans="1:8" ht="16">
      <c r="A87" s="467"/>
      <c r="B87" s="416"/>
      <c r="C87" s="408" t="s">
        <v>1732</v>
      </c>
      <c r="D87" s="408" t="s">
        <v>1733</v>
      </c>
      <c r="E87" s="408" t="s">
        <v>1470</v>
      </c>
      <c r="F87" s="398" t="s">
        <v>1462</v>
      </c>
      <c r="G87" s="404" t="s">
        <v>1731</v>
      </c>
      <c r="H87" s="411" t="s">
        <v>1464</v>
      </c>
    </row>
    <row r="88" spans="1:8" ht="30">
      <c r="A88" s="467"/>
      <c r="B88" s="416"/>
      <c r="C88" s="408" t="s">
        <v>1735</v>
      </c>
      <c r="D88" s="412" t="s">
        <v>1736</v>
      </c>
      <c r="E88" s="408" t="s">
        <v>1470</v>
      </c>
      <c r="F88" s="398" t="s">
        <v>1462</v>
      </c>
      <c r="G88" s="404" t="s">
        <v>1734</v>
      </c>
      <c r="H88" s="411" t="s">
        <v>1486</v>
      </c>
    </row>
    <row r="89" spans="1:8" ht="16">
      <c r="A89" s="467"/>
      <c r="B89" s="416"/>
      <c r="C89" s="408" t="s">
        <v>1738</v>
      </c>
      <c r="D89" s="408" t="s">
        <v>1739</v>
      </c>
      <c r="E89" s="408" t="s">
        <v>1470</v>
      </c>
      <c r="F89" s="398" t="s">
        <v>1462</v>
      </c>
      <c r="G89" s="404" t="s">
        <v>1737</v>
      </c>
      <c r="H89" s="411" t="s">
        <v>1464</v>
      </c>
    </row>
    <row r="90" spans="1:8" ht="16">
      <c r="A90" s="467"/>
      <c r="B90" s="416"/>
      <c r="C90" s="408" t="s">
        <v>1741</v>
      </c>
      <c r="D90" s="408" t="s">
        <v>1742</v>
      </c>
      <c r="E90" s="408" t="s">
        <v>1470</v>
      </c>
      <c r="F90" s="398" t="s">
        <v>1462</v>
      </c>
      <c r="G90" s="404" t="s">
        <v>1740</v>
      </c>
      <c r="H90" s="411" t="s">
        <v>1464</v>
      </c>
    </row>
    <row r="91" spans="1:8" ht="16">
      <c r="A91" s="467"/>
      <c r="B91" s="416"/>
      <c r="C91" s="408" t="s">
        <v>1744</v>
      </c>
      <c r="D91" s="408" t="s">
        <v>1745</v>
      </c>
      <c r="E91" s="408" t="s">
        <v>1470</v>
      </c>
      <c r="F91" s="398" t="s">
        <v>1593</v>
      </c>
      <c r="G91" s="404" t="s">
        <v>1743</v>
      </c>
      <c r="H91" s="411" t="s">
        <v>1464</v>
      </c>
    </row>
    <row r="92" spans="1:8" ht="16">
      <c r="A92" s="467"/>
      <c r="B92" s="416"/>
      <c r="C92" s="408" t="s">
        <v>1747</v>
      </c>
      <c r="D92" s="408" t="s">
        <v>1748</v>
      </c>
      <c r="E92" s="408" t="s">
        <v>1470</v>
      </c>
      <c r="F92" s="398" t="s">
        <v>1593</v>
      </c>
      <c r="G92" s="404" t="s">
        <v>1746</v>
      </c>
      <c r="H92" s="411" t="s">
        <v>1464</v>
      </c>
    </row>
    <row r="93" spans="1:8" ht="16">
      <c r="A93" s="467"/>
      <c r="B93" s="416"/>
      <c r="C93" s="408" t="s">
        <v>1750</v>
      </c>
      <c r="D93" s="408" t="s">
        <v>1751</v>
      </c>
      <c r="E93" s="408" t="s">
        <v>1470</v>
      </c>
      <c r="F93" s="398" t="s">
        <v>1593</v>
      </c>
      <c r="G93" s="404" t="s">
        <v>1749</v>
      </c>
      <c r="H93" s="411" t="s">
        <v>1464</v>
      </c>
    </row>
    <row r="94" spans="1:8" ht="16">
      <c r="A94" s="467"/>
      <c r="B94" s="416"/>
      <c r="C94" s="408" t="s">
        <v>1753</v>
      </c>
      <c r="D94" s="408" t="s">
        <v>1754</v>
      </c>
      <c r="E94" s="408" t="s">
        <v>1755</v>
      </c>
      <c r="F94" s="398" t="s">
        <v>1593</v>
      </c>
      <c r="G94" s="404" t="s">
        <v>1752</v>
      </c>
      <c r="H94" s="411" t="s">
        <v>1464</v>
      </c>
    </row>
    <row r="95" spans="1:8" ht="16">
      <c r="A95" s="467"/>
      <c r="B95" s="416"/>
      <c r="C95" s="408" t="s">
        <v>1757</v>
      </c>
      <c r="D95" s="408" t="s">
        <v>1758</v>
      </c>
      <c r="E95" s="408" t="s">
        <v>1470</v>
      </c>
      <c r="F95" s="398" t="s">
        <v>1593</v>
      </c>
      <c r="G95" s="404" t="s">
        <v>1756</v>
      </c>
      <c r="H95" s="411" t="s">
        <v>1464</v>
      </c>
    </row>
    <row r="96" spans="1:8" ht="16">
      <c r="A96" s="467"/>
      <c r="B96" s="416"/>
      <c r="C96" s="408" t="s">
        <v>1760</v>
      </c>
      <c r="D96" s="408" t="s">
        <v>1761</v>
      </c>
      <c r="E96" s="408" t="s">
        <v>1470</v>
      </c>
      <c r="F96" s="398" t="s">
        <v>1593</v>
      </c>
      <c r="G96" s="404" t="s">
        <v>1759</v>
      </c>
      <c r="H96" s="411" t="s">
        <v>1464</v>
      </c>
    </row>
    <row r="97" spans="1:8" ht="16">
      <c r="A97" s="467"/>
      <c r="B97" s="416"/>
      <c r="C97" s="408" t="s">
        <v>1763</v>
      </c>
      <c r="D97" s="408" t="s">
        <v>1764</v>
      </c>
      <c r="E97" s="408" t="s">
        <v>1470</v>
      </c>
      <c r="F97" s="398" t="s">
        <v>1593</v>
      </c>
      <c r="G97" s="404" t="s">
        <v>1762</v>
      </c>
      <c r="H97" s="411" t="s">
        <v>1464</v>
      </c>
    </row>
    <row r="98" spans="1:8" ht="16">
      <c r="A98" s="467"/>
      <c r="B98" s="416"/>
      <c r="C98" s="408" t="s">
        <v>1766</v>
      </c>
      <c r="D98" s="408" t="s">
        <v>1767</v>
      </c>
      <c r="E98" s="408" t="s">
        <v>1470</v>
      </c>
      <c r="F98" s="398" t="s">
        <v>1593</v>
      </c>
      <c r="G98" s="404" t="s">
        <v>1765</v>
      </c>
      <c r="H98" s="411" t="s">
        <v>1464</v>
      </c>
    </row>
    <row r="99" spans="1:8" ht="16">
      <c r="A99" s="467"/>
      <c r="B99" s="416"/>
      <c r="C99" s="408" t="s">
        <v>1769</v>
      </c>
      <c r="D99" s="408" t="s">
        <v>1770</v>
      </c>
      <c r="E99" s="408" t="s">
        <v>1470</v>
      </c>
      <c r="F99" s="398" t="s">
        <v>1593</v>
      </c>
      <c r="G99" s="404" t="s">
        <v>1768</v>
      </c>
      <c r="H99" s="411" t="s">
        <v>1464</v>
      </c>
    </row>
    <row r="100" spans="1:8" ht="16">
      <c r="A100" s="467"/>
      <c r="B100" s="416"/>
      <c r="C100" s="408" t="s">
        <v>1772</v>
      </c>
      <c r="D100" s="408" t="s">
        <v>1773</v>
      </c>
      <c r="E100" s="408" t="s">
        <v>1470</v>
      </c>
      <c r="F100" s="398" t="s">
        <v>1593</v>
      </c>
      <c r="G100" s="404" t="s">
        <v>1771</v>
      </c>
      <c r="H100" s="411" t="s">
        <v>1464</v>
      </c>
    </row>
    <row r="101" spans="1:8" ht="16">
      <c r="A101" s="467"/>
      <c r="B101" s="416"/>
      <c r="C101" s="408" t="s">
        <v>1775</v>
      </c>
      <c r="D101" s="408" t="s">
        <v>1776</v>
      </c>
      <c r="E101" s="408" t="s">
        <v>1470</v>
      </c>
      <c r="F101" s="398" t="s">
        <v>1593</v>
      </c>
      <c r="G101" s="404" t="s">
        <v>1774</v>
      </c>
      <c r="H101" s="411" t="s">
        <v>1464</v>
      </c>
    </row>
    <row r="102" spans="1:8" ht="16">
      <c r="A102" s="467"/>
      <c r="B102" s="416"/>
      <c r="C102" s="408" t="s">
        <v>1778</v>
      </c>
      <c r="D102" s="408" t="s">
        <v>1779</v>
      </c>
      <c r="E102" s="408" t="s">
        <v>1470</v>
      </c>
      <c r="F102" s="398" t="s">
        <v>1593</v>
      </c>
      <c r="G102" s="404" t="s">
        <v>1777</v>
      </c>
      <c r="H102" s="411" t="s">
        <v>1464</v>
      </c>
    </row>
    <row r="103" spans="1:8" ht="16">
      <c r="A103" s="467"/>
      <c r="B103" s="416"/>
      <c r="C103" s="408" t="s">
        <v>1781</v>
      </c>
      <c r="D103" s="408" t="s">
        <v>1782</v>
      </c>
      <c r="E103" s="408" t="s">
        <v>1470</v>
      </c>
      <c r="F103" s="398" t="s">
        <v>1593</v>
      </c>
      <c r="G103" s="404" t="s">
        <v>1780</v>
      </c>
      <c r="H103" s="411" t="s">
        <v>1464</v>
      </c>
    </row>
    <row r="104" spans="1:8" ht="16">
      <c r="A104" s="467"/>
      <c r="B104" s="416"/>
      <c r="C104" s="408" t="s">
        <v>1784</v>
      </c>
      <c r="D104" s="408" t="s">
        <v>1785</v>
      </c>
      <c r="E104" s="408" t="s">
        <v>1470</v>
      </c>
      <c r="F104" s="398" t="s">
        <v>1593</v>
      </c>
      <c r="G104" s="404" t="s">
        <v>1783</v>
      </c>
      <c r="H104" s="411" t="s">
        <v>1464</v>
      </c>
    </row>
    <row r="105" spans="1:8" ht="16">
      <c r="A105" s="467"/>
      <c r="B105" s="416"/>
      <c r="C105" s="408" t="s">
        <v>1787</v>
      </c>
      <c r="D105" s="408" t="s">
        <v>1788</v>
      </c>
      <c r="E105" s="408" t="s">
        <v>1789</v>
      </c>
      <c r="F105" s="398" t="s">
        <v>1593</v>
      </c>
      <c r="G105" s="404" t="s">
        <v>1786</v>
      </c>
      <c r="H105" s="411" t="s">
        <v>1464</v>
      </c>
    </row>
    <row r="106" spans="1:8" ht="16">
      <c r="A106" s="467"/>
      <c r="B106" s="416"/>
      <c r="C106" s="408" t="s">
        <v>1791</v>
      </c>
      <c r="D106" s="408" t="s">
        <v>1792</v>
      </c>
      <c r="E106" s="408" t="s">
        <v>1470</v>
      </c>
      <c r="F106" s="398" t="s">
        <v>1593</v>
      </c>
      <c r="G106" s="404" t="s">
        <v>1790</v>
      </c>
      <c r="H106" s="411" t="s">
        <v>1486</v>
      </c>
    </row>
    <row r="107" spans="1:8" ht="16">
      <c r="A107" s="467"/>
      <c r="B107" s="416"/>
      <c r="C107" s="408" t="s">
        <v>1794</v>
      </c>
      <c r="D107" s="408" t="s">
        <v>1795</v>
      </c>
      <c r="E107" s="408" t="s">
        <v>1796</v>
      </c>
      <c r="F107" s="398" t="s">
        <v>1593</v>
      </c>
      <c r="G107" s="404" t="s">
        <v>1793</v>
      </c>
      <c r="H107" s="411" t="s">
        <v>1464</v>
      </c>
    </row>
    <row r="108" spans="1:8" ht="16">
      <c r="A108" s="467"/>
      <c r="B108" s="416"/>
      <c r="C108" s="408" t="s">
        <v>1798</v>
      </c>
      <c r="D108" s="408" t="s">
        <v>1799</v>
      </c>
      <c r="E108" s="408" t="s">
        <v>1800</v>
      </c>
      <c r="F108" s="398" t="s">
        <v>1593</v>
      </c>
      <c r="G108" s="404" t="s">
        <v>1797</v>
      </c>
      <c r="H108" s="411" t="s">
        <v>1464</v>
      </c>
    </row>
    <row r="109" spans="1:8" ht="16">
      <c r="A109" s="467"/>
      <c r="B109" s="416"/>
      <c r="C109" s="408" t="s">
        <v>1802</v>
      </c>
      <c r="D109" s="408" t="s">
        <v>1803</v>
      </c>
      <c r="E109" s="408" t="s">
        <v>1804</v>
      </c>
      <c r="F109" s="398" t="s">
        <v>1593</v>
      </c>
      <c r="G109" s="404" t="s">
        <v>1801</v>
      </c>
      <c r="H109" s="411" t="s">
        <v>1464</v>
      </c>
    </row>
    <row r="110" spans="1:8" ht="16">
      <c r="A110" s="467"/>
      <c r="B110" s="416"/>
      <c r="C110" s="408" t="s">
        <v>1806</v>
      </c>
      <c r="D110" s="408"/>
      <c r="E110" s="408"/>
      <c r="F110" s="398" t="s">
        <v>1593</v>
      </c>
      <c r="G110" s="404" t="s">
        <v>1805</v>
      </c>
      <c r="H110" s="411" t="s">
        <v>1464</v>
      </c>
    </row>
    <row r="111" spans="1:8" ht="16">
      <c r="A111" s="467"/>
      <c r="B111" s="416"/>
      <c r="C111" s="408" t="s">
        <v>1808</v>
      </c>
      <c r="D111" s="408"/>
      <c r="E111" s="408"/>
      <c r="F111" s="398" t="s">
        <v>1593</v>
      </c>
      <c r="G111" s="404" t="s">
        <v>1807</v>
      </c>
      <c r="H111" s="411" t="s">
        <v>1464</v>
      </c>
    </row>
    <row r="112" spans="1:8" ht="16">
      <c r="A112" s="467"/>
      <c r="B112" s="416"/>
      <c r="C112" s="408" t="s">
        <v>1810</v>
      </c>
      <c r="D112" s="408"/>
      <c r="E112" s="408"/>
      <c r="F112" s="398" t="s">
        <v>1593</v>
      </c>
      <c r="G112" s="404" t="s">
        <v>1809</v>
      </c>
      <c r="H112" s="411" t="s">
        <v>1464</v>
      </c>
    </row>
    <row r="113" spans="1:8" ht="16">
      <c r="A113" s="467"/>
      <c r="B113" s="416"/>
      <c r="C113" s="408" t="s">
        <v>1812</v>
      </c>
      <c r="D113" s="408"/>
      <c r="E113" s="408"/>
      <c r="F113" s="398" t="s">
        <v>1593</v>
      </c>
      <c r="G113" s="404" t="s">
        <v>1811</v>
      </c>
      <c r="H113" s="411" t="s">
        <v>1464</v>
      </c>
    </row>
    <row r="114" spans="1:8" ht="16">
      <c r="A114" s="467"/>
      <c r="B114" s="416"/>
      <c r="C114" s="408" t="s">
        <v>1814</v>
      </c>
      <c r="D114" s="408"/>
      <c r="E114" s="408"/>
      <c r="F114" s="398" t="s">
        <v>1593</v>
      </c>
      <c r="G114" s="404" t="s">
        <v>1813</v>
      </c>
      <c r="H114" s="411" t="s">
        <v>1486</v>
      </c>
    </row>
    <row r="115" spans="1:8" ht="16">
      <c r="A115" s="467"/>
      <c r="B115" s="416"/>
      <c r="C115" s="408" t="s">
        <v>1816</v>
      </c>
      <c r="D115" s="408"/>
      <c r="E115" s="408"/>
      <c r="F115" s="398" t="s">
        <v>1593</v>
      </c>
      <c r="G115" s="404" t="s">
        <v>1815</v>
      </c>
      <c r="H115" s="411" t="s">
        <v>1486</v>
      </c>
    </row>
    <row r="116" spans="1:8" ht="16">
      <c r="A116" s="467"/>
      <c r="B116" s="416"/>
      <c r="C116" s="408" t="s">
        <v>1818</v>
      </c>
      <c r="D116" s="408"/>
      <c r="E116" s="408"/>
      <c r="F116" s="398" t="s">
        <v>1593</v>
      </c>
      <c r="G116" s="404" t="s">
        <v>1817</v>
      </c>
      <c r="H116" s="411" t="s">
        <v>1486</v>
      </c>
    </row>
    <row r="117" spans="1:8" ht="16" hidden="1">
      <c r="A117" s="467"/>
      <c r="B117" s="416"/>
      <c r="C117" s="408" t="s">
        <v>1819</v>
      </c>
      <c r="D117" s="410"/>
      <c r="E117" s="410"/>
      <c r="F117" s="398" t="s">
        <v>1593</v>
      </c>
      <c r="G117" s="409">
        <v>99999999</v>
      </c>
      <c r="H117" s="411" t="s">
        <v>1464</v>
      </c>
    </row>
  </sheetData>
  <sheetProtection password="842B" sheet="1" objects="1" scenarios="1"/>
  <phoneticPr fontId="3"/>
  <conditionalFormatting sqref="D4">
    <cfRule type="expression" dxfId="2"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2" r:id="rId4" name="Option Button 2">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51203" r:id="rId5" name="Option Button 3">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51204" r:id="rId6" name="Option Button 4">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51205" r:id="rId7" name="Option Button 5">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51206" r:id="rId8" name="Option Button 6">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51207" r:id="rId9" name="Option Button 7">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51208" r:id="rId10" name="Option Button 8">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51209" r:id="rId11" name="Option Button 9">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51210" r:id="rId12" name="Option Button 10">
              <controlPr defaultSize="0" autoFill="0" autoLine="0" autoPict="0">
                <anchor moveWithCells="1">
                  <from>
                    <xdr:col>1</xdr:col>
                    <xdr:colOff>438150</xdr:colOff>
                    <xdr:row>14</xdr:row>
                    <xdr:rowOff>12700</xdr:rowOff>
                  </from>
                  <to>
                    <xdr:col>1</xdr:col>
                    <xdr:colOff>914400</xdr:colOff>
                    <xdr:row>14</xdr:row>
                    <xdr:rowOff>209550</xdr:rowOff>
                  </to>
                </anchor>
              </controlPr>
            </control>
          </mc:Choice>
        </mc:AlternateContent>
        <mc:AlternateContent xmlns:mc="http://schemas.openxmlformats.org/markup-compatibility/2006">
          <mc:Choice Requires="x14">
            <control shapeId="51211" r:id="rId13" name="Option Button 11">
              <controlPr defaultSize="0" autoFill="0" autoLine="0" autoPict="0">
                <anchor moveWithCells="1">
                  <from>
                    <xdr:col>1</xdr:col>
                    <xdr:colOff>438150</xdr:colOff>
                    <xdr:row>15</xdr:row>
                    <xdr:rowOff>12700</xdr:rowOff>
                  </from>
                  <to>
                    <xdr:col>1</xdr:col>
                    <xdr:colOff>914400</xdr:colOff>
                    <xdr:row>15</xdr:row>
                    <xdr:rowOff>209550</xdr:rowOff>
                  </to>
                </anchor>
              </controlPr>
            </control>
          </mc:Choice>
        </mc:AlternateContent>
        <mc:AlternateContent xmlns:mc="http://schemas.openxmlformats.org/markup-compatibility/2006">
          <mc:Choice Requires="x14">
            <control shapeId="51212" r:id="rId14" name="Option Button 12">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51213" r:id="rId15" name="Option Button 13">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51214" r:id="rId16" name="Option Button 14">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51215" r:id="rId17" name="Option Button 15">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51216" r:id="rId18" name="Option Button 16">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51217" r:id="rId19" name="Option Button 17">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51218" r:id="rId20" name="Option Button 18">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51219" r:id="rId21" name="Option Button 19">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51220" r:id="rId22" name="Option Button 20">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51221" r:id="rId23" name="Option Button 21">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51222" r:id="rId24" name="Option Button 22">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51223" r:id="rId25" name="Option Button 23">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51224" r:id="rId26" name="Option Button 24">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51225" r:id="rId27" name="Option Button 25">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51226" r:id="rId28" name="Option Button 26">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51227" r:id="rId29" name="Option Button 27">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51228" r:id="rId30" name="Option Button 28">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51229" r:id="rId31" name="Option Button 29">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51230" r:id="rId32" name="Option Button 30">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51231" r:id="rId33" name="Option Button 31">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51232" r:id="rId34" name="Option Button 32">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51233" r:id="rId35" name="Option Button 33">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51234" r:id="rId36" name="Option Button 34">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51235" r:id="rId37" name="Option Button 35">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51236" r:id="rId38" name="Option Button 36">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51237" r:id="rId39" name="Option Button 37">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51238" r:id="rId40" name="Option Button 38">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51239" r:id="rId41" name="Option Button 39">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51240" r:id="rId42" name="Option Button 40">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51241" r:id="rId43" name="Option Button 41">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51242" r:id="rId44" name="Option Button 42">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51243" r:id="rId45" name="Option Button 43">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51244" r:id="rId46" name="Option Button 44">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51245" r:id="rId47" name="Option Button 45">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51246" r:id="rId48" name="Option Button 46">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51247" r:id="rId49" name="Option Button 47">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51248" r:id="rId50" name="Option Button 48">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51249" r:id="rId51" name="Option Button 49">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51250" r:id="rId52" name="Option Button 50">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51251" r:id="rId53" name="Option Button 51">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51252" r:id="rId54" name="Option Button 52">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51253" r:id="rId55" name="Option Button 53">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51254" r:id="rId56" name="Option Button 54">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51255" r:id="rId57" name="Option Button 55">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51256" r:id="rId58" name="Option Button 56">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51257" r:id="rId59" name="Option Button 57">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51258" r:id="rId60" name="Option Button 58">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51259" r:id="rId61" name="Option Button 59">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51260" r:id="rId62" name="Option Button 60">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51261" r:id="rId63" name="Option Button 61">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51262" r:id="rId64" name="Option Button 62">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51263" r:id="rId65" name="Option Button 63">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51264" r:id="rId66" name="Option Button 64">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51265" r:id="rId67" name="Option Button 65">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51266" r:id="rId68" name="Option Button 66">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51267" r:id="rId69" name="Option Button 67">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51268" r:id="rId70" name="Option Button 68">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51269" r:id="rId71" name="Option Button 69">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51270" r:id="rId72" name="Option Button 70">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51271" r:id="rId73" name="Option Button 71">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51272" r:id="rId74" name="Option Button 72">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51273" r:id="rId75" name="Option Button 73">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51274" r:id="rId76" name="Option Button 74">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51275" r:id="rId77" name="Option Button 75">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51276" r:id="rId78" name="Option Button 76">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51277" r:id="rId79" name="Option Button 77">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51278" r:id="rId80" name="Option Button 78">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51279" r:id="rId81" name="Option Button 79">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51280" r:id="rId82" name="Option Button 80">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51281" r:id="rId83" name="Option Button 81">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51282" r:id="rId84" name="Option Button 82">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51283" r:id="rId85" name="Option Button 83">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51284" r:id="rId86" name="Option Button 84">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51285" r:id="rId87" name="Option Button 85">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51286" r:id="rId88" name="Option Button 86">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51287" r:id="rId89" name="Option Button 87">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51288" r:id="rId90" name="Option Button 88">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51289" r:id="rId91" name="Option Button 89">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51290" r:id="rId92" name="Option Button 90">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51291" r:id="rId93" name="Option Button 91">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51292" r:id="rId94" name="Option Button 92">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51293" r:id="rId95" name="Option Button 93">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51294" r:id="rId96" name="Option Button 94">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51295" r:id="rId97" name="Option Button 95">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51296" r:id="rId98" name="Option Button 96">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51297" r:id="rId99" name="Option Button 97">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51298" r:id="rId100" name="Option Button 98">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51299" r:id="rId101" name="Option Button 99">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51300" r:id="rId102" name="Option Button 100">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51301" r:id="rId103" name="Option Button 101">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51302" r:id="rId104" name="Option Button 102">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51303" r:id="rId105" name="Option Button 103">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51304" r:id="rId106" name="Option Button 104">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51305" r:id="rId107" name="Option Button 105">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51306" r:id="rId108" name="Option Button 106">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51307" r:id="rId109" name="Option Button 107">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51308" r:id="rId110" name="Option Button 108">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51309" r:id="rId111" name="Option Button 109">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51310" r:id="rId112" name="Option Button 110">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51311" r:id="rId113" name="Option Button 111">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C00FF"/>
    <pageSetUpPr fitToPage="1"/>
  </sheetPr>
  <dimension ref="A1:M50"/>
  <sheetViews>
    <sheetView showGridLines="0" zoomScale="130" zoomScaleNormal="130" workbookViewId="0">
      <selection activeCell="B7" sqref="B7:C7"/>
    </sheetView>
  </sheetViews>
  <sheetFormatPr defaultRowHeight="13"/>
  <cols>
    <col min="1" max="3" width="15.08984375" style="445" customWidth="1"/>
    <col min="4" max="4" width="35.26953125" style="445" customWidth="1"/>
    <col min="5" max="6" width="19.6328125" style="439" customWidth="1"/>
    <col min="7" max="7" width="9" style="439"/>
    <col min="8" max="8" width="9" style="441" customWidth="1"/>
    <col min="9" max="9" width="9" style="441"/>
    <col min="10" max="10" width="0" style="441" hidden="1" customWidth="1"/>
    <col min="11" max="13" width="9" style="441"/>
    <col min="14" max="256" width="9" style="439"/>
    <col min="257" max="259" width="15.08984375" style="439" customWidth="1"/>
    <col min="260" max="260" width="35.26953125" style="439" customWidth="1"/>
    <col min="261" max="262" width="19.6328125" style="439" customWidth="1"/>
    <col min="263" max="263" width="9" style="439"/>
    <col min="264" max="264" width="29.08984375" style="439" bestFit="1" customWidth="1"/>
    <col min="265" max="512" width="9" style="439"/>
    <col min="513" max="515" width="15.08984375" style="439" customWidth="1"/>
    <col min="516" max="516" width="35.26953125" style="439" customWidth="1"/>
    <col min="517" max="518" width="19.6328125" style="439" customWidth="1"/>
    <col min="519" max="519" width="9" style="439"/>
    <col min="520" max="520" width="29.08984375" style="439" bestFit="1" customWidth="1"/>
    <col min="521" max="768" width="9" style="439"/>
    <col min="769" max="771" width="15.08984375" style="439" customWidth="1"/>
    <col min="772" max="772" width="35.26953125" style="439" customWidth="1"/>
    <col min="773" max="774" width="19.6328125" style="439" customWidth="1"/>
    <col min="775" max="775" width="9" style="439"/>
    <col min="776" max="776" width="29.08984375" style="439" bestFit="1" customWidth="1"/>
    <col min="777" max="1024" width="9" style="439"/>
    <col min="1025" max="1027" width="15.08984375" style="439" customWidth="1"/>
    <col min="1028" max="1028" width="35.26953125" style="439" customWidth="1"/>
    <col min="1029" max="1030" width="19.6328125" style="439" customWidth="1"/>
    <col min="1031" max="1031" width="9" style="439"/>
    <col min="1032" max="1032" width="29.08984375" style="439" bestFit="1" customWidth="1"/>
    <col min="1033" max="1280" width="9" style="439"/>
    <col min="1281" max="1283" width="15.08984375" style="439" customWidth="1"/>
    <col min="1284" max="1284" width="35.26953125" style="439" customWidth="1"/>
    <col min="1285" max="1286" width="19.6328125" style="439" customWidth="1"/>
    <col min="1287" max="1287" width="9" style="439"/>
    <col min="1288" max="1288" width="29.08984375" style="439" bestFit="1" customWidth="1"/>
    <col min="1289" max="1536" width="9" style="439"/>
    <col min="1537" max="1539" width="15.08984375" style="439" customWidth="1"/>
    <col min="1540" max="1540" width="35.26953125" style="439" customWidth="1"/>
    <col min="1541" max="1542" width="19.6328125" style="439" customWidth="1"/>
    <col min="1543" max="1543" width="9" style="439"/>
    <col min="1544" max="1544" width="29.08984375" style="439" bestFit="1" customWidth="1"/>
    <col min="1545" max="1792" width="9" style="439"/>
    <col min="1793" max="1795" width="15.08984375" style="439" customWidth="1"/>
    <col min="1796" max="1796" width="35.26953125" style="439" customWidth="1"/>
    <col min="1797" max="1798" width="19.6328125" style="439" customWidth="1"/>
    <col min="1799" max="1799" width="9" style="439"/>
    <col min="1800" max="1800" width="29.08984375" style="439" bestFit="1" customWidth="1"/>
    <col min="1801" max="2048" width="9" style="439"/>
    <col min="2049" max="2051" width="15.08984375" style="439" customWidth="1"/>
    <col min="2052" max="2052" width="35.26953125" style="439" customWidth="1"/>
    <col min="2053" max="2054" width="19.6328125" style="439" customWidth="1"/>
    <col min="2055" max="2055" width="9" style="439"/>
    <col min="2056" max="2056" width="29.08984375" style="439" bestFit="1" customWidth="1"/>
    <col min="2057" max="2304" width="9" style="439"/>
    <col min="2305" max="2307" width="15.08984375" style="439" customWidth="1"/>
    <col min="2308" max="2308" width="35.26953125" style="439" customWidth="1"/>
    <col min="2309" max="2310" width="19.6328125" style="439" customWidth="1"/>
    <col min="2311" max="2311" width="9" style="439"/>
    <col min="2312" max="2312" width="29.08984375" style="439" bestFit="1" customWidth="1"/>
    <col min="2313" max="2560" width="9" style="439"/>
    <col min="2561" max="2563" width="15.08984375" style="439" customWidth="1"/>
    <col min="2564" max="2564" width="35.26953125" style="439" customWidth="1"/>
    <col min="2565" max="2566" width="19.6328125" style="439" customWidth="1"/>
    <col min="2567" max="2567" width="9" style="439"/>
    <col min="2568" max="2568" width="29.08984375" style="439" bestFit="1" customWidth="1"/>
    <col min="2569" max="2816" width="9" style="439"/>
    <col min="2817" max="2819" width="15.08984375" style="439" customWidth="1"/>
    <col min="2820" max="2820" width="35.26953125" style="439" customWidth="1"/>
    <col min="2821" max="2822" width="19.6328125" style="439" customWidth="1"/>
    <col min="2823" max="2823" width="9" style="439"/>
    <col min="2824" max="2824" width="29.08984375" style="439" bestFit="1" customWidth="1"/>
    <col min="2825" max="3072" width="9" style="439"/>
    <col min="3073" max="3075" width="15.08984375" style="439" customWidth="1"/>
    <col min="3076" max="3076" width="35.26953125" style="439" customWidth="1"/>
    <col min="3077" max="3078" width="19.6328125" style="439" customWidth="1"/>
    <col min="3079" max="3079" width="9" style="439"/>
    <col min="3080" max="3080" width="29.08984375" style="439" bestFit="1" customWidth="1"/>
    <col min="3081" max="3328" width="9" style="439"/>
    <col min="3329" max="3331" width="15.08984375" style="439" customWidth="1"/>
    <col min="3332" max="3332" width="35.26953125" style="439" customWidth="1"/>
    <col min="3333" max="3334" width="19.6328125" style="439" customWidth="1"/>
    <col min="3335" max="3335" width="9" style="439"/>
    <col min="3336" max="3336" width="29.08984375" style="439" bestFit="1" customWidth="1"/>
    <col min="3337" max="3584" width="9" style="439"/>
    <col min="3585" max="3587" width="15.08984375" style="439" customWidth="1"/>
    <col min="3588" max="3588" width="35.26953125" style="439" customWidth="1"/>
    <col min="3589" max="3590" width="19.6328125" style="439" customWidth="1"/>
    <col min="3591" max="3591" width="9" style="439"/>
    <col min="3592" max="3592" width="29.08984375" style="439" bestFit="1" customWidth="1"/>
    <col min="3593" max="3840" width="9" style="439"/>
    <col min="3841" max="3843" width="15.08984375" style="439" customWidth="1"/>
    <col min="3844" max="3844" width="35.26953125" style="439" customWidth="1"/>
    <col min="3845" max="3846" width="19.6328125" style="439" customWidth="1"/>
    <col min="3847" max="3847" width="9" style="439"/>
    <col min="3848" max="3848" width="29.08984375" style="439" bestFit="1" customWidth="1"/>
    <col min="3849" max="4096" width="9" style="439"/>
    <col min="4097" max="4099" width="15.08984375" style="439" customWidth="1"/>
    <col min="4100" max="4100" width="35.26953125" style="439" customWidth="1"/>
    <col min="4101" max="4102" width="19.6328125" style="439" customWidth="1"/>
    <col min="4103" max="4103" width="9" style="439"/>
    <col min="4104" max="4104" width="29.08984375" style="439" bestFit="1" customWidth="1"/>
    <col min="4105" max="4352" width="9" style="439"/>
    <col min="4353" max="4355" width="15.08984375" style="439" customWidth="1"/>
    <col min="4356" max="4356" width="35.26953125" style="439" customWidth="1"/>
    <col min="4357" max="4358" width="19.6328125" style="439" customWidth="1"/>
    <col min="4359" max="4359" width="9" style="439"/>
    <col min="4360" max="4360" width="29.08984375" style="439" bestFit="1" customWidth="1"/>
    <col min="4361" max="4608" width="9" style="439"/>
    <col min="4609" max="4611" width="15.08984375" style="439" customWidth="1"/>
    <col min="4612" max="4612" width="35.26953125" style="439" customWidth="1"/>
    <col min="4613" max="4614" width="19.6328125" style="439" customWidth="1"/>
    <col min="4615" max="4615" width="9" style="439"/>
    <col min="4616" max="4616" width="29.08984375" style="439" bestFit="1" customWidth="1"/>
    <col min="4617" max="4864" width="9" style="439"/>
    <col min="4865" max="4867" width="15.08984375" style="439" customWidth="1"/>
    <col min="4868" max="4868" width="35.26953125" style="439" customWidth="1"/>
    <col min="4869" max="4870" width="19.6328125" style="439" customWidth="1"/>
    <col min="4871" max="4871" width="9" style="439"/>
    <col min="4872" max="4872" width="29.08984375" style="439" bestFit="1" customWidth="1"/>
    <col min="4873" max="5120" width="9" style="439"/>
    <col min="5121" max="5123" width="15.08984375" style="439" customWidth="1"/>
    <col min="5124" max="5124" width="35.26953125" style="439" customWidth="1"/>
    <col min="5125" max="5126" width="19.6328125" style="439" customWidth="1"/>
    <col min="5127" max="5127" width="9" style="439"/>
    <col min="5128" max="5128" width="29.08984375" style="439" bestFit="1" customWidth="1"/>
    <col min="5129" max="5376" width="9" style="439"/>
    <col min="5377" max="5379" width="15.08984375" style="439" customWidth="1"/>
    <col min="5380" max="5380" width="35.26953125" style="439" customWidth="1"/>
    <col min="5381" max="5382" width="19.6328125" style="439" customWidth="1"/>
    <col min="5383" max="5383" width="9" style="439"/>
    <col min="5384" max="5384" width="29.08984375" style="439" bestFit="1" customWidth="1"/>
    <col min="5385" max="5632" width="9" style="439"/>
    <col min="5633" max="5635" width="15.08984375" style="439" customWidth="1"/>
    <col min="5636" max="5636" width="35.26953125" style="439" customWidth="1"/>
    <col min="5637" max="5638" width="19.6328125" style="439" customWidth="1"/>
    <col min="5639" max="5639" width="9" style="439"/>
    <col min="5640" max="5640" width="29.08984375" style="439" bestFit="1" customWidth="1"/>
    <col min="5641" max="5888" width="9" style="439"/>
    <col min="5889" max="5891" width="15.08984375" style="439" customWidth="1"/>
    <col min="5892" max="5892" width="35.26953125" style="439" customWidth="1"/>
    <col min="5893" max="5894" width="19.6328125" style="439" customWidth="1"/>
    <col min="5895" max="5895" width="9" style="439"/>
    <col min="5896" max="5896" width="29.08984375" style="439" bestFit="1" customWidth="1"/>
    <col min="5897" max="6144" width="9" style="439"/>
    <col min="6145" max="6147" width="15.08984375" style="439" customWidth="1"/>
    <col min="6148" max="6148" width="35.26953125" style="439" customWidth="1"/>
    <col min="6149" max="6150" width="19.6328125" style="439" customWidth="1"/>
    <col min="6151" max="6151" width="9" style="439"/>
    <col min="6152" max="6152" width="29.08984375" style="439" bestFit="1" customWidth="1"/>
    <col min="6153" max="6400" width="9" style="439"/>
    <col min="6401" max="6403" width="15.08984375" style="439" customWidth="1"/>
    <col min="6404" max="6404" width="35.26953125" style="439" customWidth="1"/>
    <col min="6405" max="6406" width="19.6328125" style="439" customWidth="1"/>
    <col min="6407" max="6407" width="9" style="439"/>
    <col min="6408" max="6408" width="29.08984375" style="439" bestFit="1" customWidth="1"/>
    <col min="6409" max="6656" width="9" style="439"/>
    <col min="6657" max="6659" width="15.08984375" style="439" customWidth="1"/>
    <col min="6660" max="6660" width="35.26953125" style="439" customWidth="1"/>
    <col min="6661" max="6662" width="19.6328125" style="439" customWidth="1"/>
    <col min="6663" max="6663" width="9" style="439"/>
    <col min="6664" max="6664" width="29.08984375" style="439" bestFit="1" customWidth="1"/>
    <col min="6665" max="6912" width="9" style="439"/>
    <col min="6913" max="6915" width="15.08984375" style="439" customWidth="1"/>
    <col min="6916" max="6916" width="35.26953125" style="439" customWidth="1"/>
    <col min="6917" max="6918" width="19.6328125" style="439" customWidth="1"/>
    <col min="6919" max="6919" width="9" style="439"/>
    <col min="6920" max="6920" width="29.08984375" style="439" bestFit="1" customWidth="1"/>
    <col min="6921" max="7168" width="9" style="439"/>
    <col min="7169" max="7171" width="15.08984375" style="439" customWidth="1"/>
    <col min="7172" max="7172" width="35.26953125" style="439" customWidth="1"/>
    <col min="7173" max="7174" width="19.6328125" style="439" customWidth="1"/>
    <col min="7175" max="7175" width="9" style="439"/>
    <col min="7176" max="7176" width="29.08984375" style="439" bestFit="1" customWidth="1"/>
    <col min="7177" max="7424" width="9" style="439"/>
    <col min="7425" max="7427" width="15.08984375" style="439" customWidth="1"/>
    <col min="7428" max="7428" width="35.26953125" style="439" customWidth="1"/>
    <col min="7429" max="7430" width="19.6328125" style="439" customWidth="1"/>
    <col min="7431" max="7431" width="9" style="439"/>
    <col min="7432" max="7432" width="29.08984375" style="439" bestFit="1" customWidth="1"/>
    <col min="7433" max="7680" width="9" style="439"/>
    <col min="7681" max="7683" width="15.08984375" style="439" customWidth="1"/>
    <col min="7684" max="7684" width="35.26953125" style="439" customWidth="1"/>
    <col min="7685" max="7686" width="19.6328125" style="439" customWidth="1"/>
    <col min="7687" max="7687" width="9" style="439"/>
    <col min="7688" max="7688" width="29.08984375" style="439" bestFit="1" customWidth="1"/>
    <col min="7689" max="7936" width="9" style="439"/>
    <col min="7937" max="7939" width="15.08984375" style="439" customWidth="1"/>
    <col min="7940" max="7940" width="35.26953125" style="439" customWidth="1"/>
    <col min="7941" max="7942" width="19.6328125" style="439" customWidth="1"/>
    <col min="7943" max="7943" width="9" style="439"/>
    <col min="7944" max="7944" width="29.08984375" style="439" bestFit="1" customWidth="1"/>
    <col min="7945" max="8192" width="9" style="439"/>
    <col min="8193" max="8195" width="15.08984375" style="439" customWidth="1"/>
    <col min="8196" max="8196" width="35.26953125" style="439" customWidth="1"/>
    <col min="8197" max="8198" width="19.6328125" style="439" customWidth="1"/>
    <col min="8199" max="8199" width="9" style="439"/>
    <col min="8200" max="8200" width="29.08984375" style="439" bestFit="1" customWidth="1"/>
    <col min="8201" max="8448" width="9" style="439"/>
    <col min="8449" max="8451" width="15.08984375" style="439" customWidth="1"/>
    <col min="8452" max="8452" width="35.26953125" style="439" customWidth="1"/>
    <col min="8453" max="8454" width="19.6328125" style="439" customWidth="1"/>
    <col min="8455" max="8455" width="9" style="439"/>
    <col min="8456" max="8456" width="29.08984375" style="439" bestFit="1" customWidth="1"/>
    <col min="8457" max="8704" width="9" style="439"/>
    <col min="8705" max="8707" width="15.08984375" style="439" customWidth="1"/>
    <col min="8708" max="8708" width="35.26953125" style="439" customWidth="1"/>
    <col min="8709" max="8710" width="19.6328125" style="439" customWidth="1"/>
    <col min="8711" max="8711" width="9" style="439"/>
    <col min="8712" max="8712" width="29.08984375" style="439" bestFit="1" customWidth="1"/>
    <col min="8713" max="8960" width="9" style="439"/>
    <col min="8961" max="8963" width="15.08984375" style="439" customWidth="1"/>
    <col min="8964" max="8964" width="35.26953125" style="439" customWidth="1"/>
    <col min="8965" max="8966" width="19.6328125" style="439" customWidth="1"/>
    <col min="8967" max="8967" width="9" style="439"/>
    <col min="8968" max="8968" width="29.08984375" style="439" bestFit="1" customWidth="1"/>
    <col min="8969" max="9216" width="9" style="439"/>
    <col min="9217" max="9219" width="15.08984375" style="439" customWidth="1"/>
    <col min="9220" max="9220" width="35.26953125" style="439" customWidth="1"/>
    <col min="9221" max="9222" width="19.6328125" style="439" customWidth="1"/>
    <col min="9223" max="9223" width="9" style="439"/>
    <col min="9224" max="9224" width="29.08984375" style="439" bestFit="1" customWidth="1"/>
    <col min="9225" max="9472" width="9" style="439"/>
    <col min="9473" max="9475" width="15.08984375" style="439" customWidth="1"/>
    <col min="9476" max="9476" width="35.26953125" style="439" customWidth="1"/>
    <col min="9477" max="9478" width="19.6328125" style="439" customWidth="1"/>
    <col min="9479" max="9479" width="9" style="439"/>
    <col min="9480" max="9480" width="29.08984375" style="439" bestFit="1" customWidth="1"/>
    <col min="9481" max="9728" width="9" style="439"/>
    <col min="9729" max="9731" width="15.08984375" style="439" customWidth="1"/>
    <col min="9732" max="9732" width="35.26953125" style="439" customWidth="1"/>
    <col min="9733" max="9734" width="19.6328125" style="439" customWidth="1"/>
    <col min="9735" max="9735" width="9" style="439"/>
    <col min="9736" max="9736" width="29.08984375" style="439" bestFit="1" customWidth="1"/>
    <col min="9737" max="9984" width="9" style="439"/>
    <col min="9985" max="9987" width="15.08984375" style="439" customWidth="1"/>
    <col min="9988" max="9988" width="35.26953125" style="439" customWidth="1"/>
    <col min="9989" max="9990" width="19.6328125" style="439" customWidth="1"/>
    <col min="9991" max="9991" width="9" style="439"/>
    <col min="9992" max="9992" width="29.08984375" style="439" bestFit="1" customWidth="1"/>
    <col min="9993" max="10240" width="9" style="439"/>
    <col min="10241" max="10243" width="15.08984375" style="439" customWidth="1"/>
    <col min="10244" max="10244" width="35.26953125" style="439" customWidth="1"/>
    <col min="10245" max="10246" width="19.6328125" style="439" customWidth="1"/>
    <col min="10247" max="10247" width="9" style="439"/>
    <col min="10248" max="10248" width="29.08984375" style="439" bestFit="1" customWidth="1"/>
    <col min="10249" max="10496" width="9" style="439"/>
    <col min="10497" max="10499" width="15.08984375" style="439" customWidth="1"/>
    <col min="10500" max="10500" width="35.26953125" style="439" customWidth="1"/>
    <col min="10501" max="10502" width="19.6328125" style="439" customWidth="1"/>
    <col min="10503" max="10503" width="9" style="439"/>
    <col min="10504" max="10504" width="29.08984375" style="439" bestFit="1" customWidth="1"/>
    <col min="10505" max="10752" width="9" style="439"/>
    <col min="10753" max="10755" width="15.08984375" style="439" customWidth="1"/>
    <col min="10756" max="10756" width="35.26953125" style="439" customWidth="1"/>
    <col min="10757" max="10758" width="19.6328125" style="439" customWidth="1"/>
    <col min="10759" max="10759" width="9" style="439"/>
    <col min="10760" max="10760" width="29.08984375" style="439" bestFit="1" customWidth="1"/>
    <col min="10761" max="11008" width="9" style="439"/>
    <col min="11009" max="11011" width="15.08984375" style="439" customWidth="1"/>
    <col min="11012" max="11012" width="35.26953125" style="439" customWidth="1"/>
    <col min="11013" max="11014" width="19.6328125" style="439" customWidth="1"/>
    <col min="11015" max="11015" width="9" style="439"/>
    <col min="11016" max="11016" width="29.08984375" style="439" bestFit="1" customWidth="1"/>
    <col min="11017" max="11264" width="9" style="439"/>
    <col min="11265" max="11267" width="15.08984375" style="439" customWidth="1"/>
    <col min="11268" max="11268" width="35.26953125" style="439" customWidth="1"/>
    <col min="11269" max="11270" width="19.6328125" style="439" customWidth="1"/>
    <col min="11271" max="11271" width="9" style="439"/>
    <col min="11272" max="11272" width="29.08984375" style="439" bestFit="1" customWidth="1"/>
    <col min="11273" max="11520" width="9" style="439"/>
    <col min="11521" max="11523" width="15.08984375" style="439" customWidth="1"/>
    <col min="11524" max="11524" width="35.26953125" style="439" customWidth="1"/>
    <col min="11525" max="11526" width="19.6328125" style="439" customWidth="1"/>
    <col min="11527" max="11527" width="9" style="439"/>
    <col min="11528" max="11528" width="29.08984375" style="439" bestFit="1" customWidth="1"/>
    <col min="11529" max="11776" width="9" style="439"/>
    <col min="11777" max="11779" width="15.08984375" style="439" customWidth="1"/>
    <col min="11780" max="11780" width="35.26953125" style="439" customWidth="1"/>
    <col min="11781" max="11782" width="19.6328125" style="439" customWidth="1"/>
    <col min="11783" max="11783" width="9" style="439"/>
    <col min="11784" max="11784" width="29.08984375" style="439" bestFit="1" customWidth="1"/>
    <col min="11785" max="12032" width="9" style="439"/>
    <col min="12033" max="12035" width="15.08984375" style="439" customWidth="1"/>
    <col min="12036" max="12036" width="35.26953125" style="439" customWidth="1"/>
    <col min="12037" max="12038" width="19.6328125" style="439" customWidth="1"/>
    <col min="12039" max="12039" width="9" style="439"/>
    <col min="12040" max="12040" width="29.08984375" style="439" bestFit="1" customWidth="1"/>
    <col min="12041" max="12288" width="9" style="439"/>
    <col min="12289" max="12291" width="15.08984375" style="439" customWidth="1"/>
    <col min="12292" max="12292" width="35.26953125" style="439" customWidth="1"/>
    <col min="12293" max="12294" width="19.6328125" style="439" customWidth="1"/>
    <col min="12295" max="12295" width="9" style="439"/>
    <col min="12296" max="12296" width="29.08984375" style="439" bestFit="1" customWidth="1"/>
    <col min="12297" max="12544" width="9" style="439"/>
    <col min="12545" max="12547" width="15.08984375" style="439" customWidth="1"/>
    <col min="12548" max="12548" width="35.26953125" style="439" customWidth="1"/>
    <col min="12549" max="12550" width="19.6328125" style="439" customWidth="1"/>
    <col min="12551" max="12551" width="9" style="439"/>
    <col min="12552" max="12552" width="29.08984375" style="439" bestFit="1" customWidth="1"/>
    <col min="12553" max="12800" width="9" style="439"/>
    <col min="12801" max="12803" width="15.08984375" style="439" customWidth="1"/>
    <col min="12804" max="12804" width="35.26953125" style="439" customWidth="1"/>
    <col min="12805" max="12806" width="19.6328125" style="439" customWidth="1"/>
    <col min="12807" max="12807" width="9" style="439"/>
    <col min="12808" max="12808" width="29.08984375" style="439" bestFit="1" customWidth="1"/>
    <col min="12809" max="13056" width="9" style="439"/>
    <col min="13057" max="13059" width="15.08984375" style="439" customWidth="1"/>
    <col min="13060" max="13060" width="35.26953125" style="439" customWidth="1"/>
    <col min="13061" max="13062" width="19.6328125" style="439" customWidth="1"/>
    <col min="13063" max="13063" width="9" style="439"/>
    <col min="13064" max="13064" width="29.08984375" style="439" bestFit="1" customWidth="1"/>
    <col min="13065" max="13312" width="9" style="439"/>
    <col min="13313" max="13315" width="15.08984375" style="439" customWidth="1"/>
    <col min="13316" max="13316" width="35.26953125" style="439" customWidth="1"/>
    <col min="13317" max="13318" width="19.6328125" style="439" customWidth="1"/>
    <col min="13319" max="13319" width="9" style="439"/>
    <col min="13320" max="13320" width="29.08984375" style="439" bestFit="1" customWidth="1"/>
    <col min="13321" max="13568" width="9" style="439"/>
    <col min="13569" max="13571" width="15.08984375" style="439" customWidth="1"/>
    <col min="13572" max="13572" width="35.26953125" style="439" customWidth="1"/>
    <col min="13573" max="13574" width="19.6328125" style="439" customWidth="1"/>
    <col min="13575" max="13575" width="9" style="439"/>
    <col min="13576" max="13576" width="29.08984375" style="439" bestFit="1" customWidth="1"/>
    <col min="13577" max="13824" width="9" style="439"/>
    <col min="13825" max="13827" width="15.08984375" style="439" customWidth="1"/>
    <col min="13828" max="13828" width="35.26953125" style="439" customWidth="1"/>
    <col min="13829" max="13830" width="19.6328125" style="439" customWidth="1"/>
    <col min="13831" max="13831" width="9" style="439"/>
    <col min="13832" max="13832" width="29.08984375" style="439" bestFit="1" customWidth="1"/>
    <col min="13833" max="14080" width="9" style="439"/>
    <col min="14081" max="14083" width="15.08984375" style="439" customWidth="1"/>
    <col min="14084" max="14084" width="35.26953125" style="439" customWidth="1"/>
    <col min="14085" max="14086" width="19.6328125" style="439" customWidth="1"/>
    <col min="14087" max="14087" width="9" style="439"/>
    <col min="14088" max="14088" width="29.08984375" style="439" bestFit="1" customWidth="1"/>
    <col min="14089" max="14336" width="9" style="439"/>
    <col min="14337" max="14339" width="15.08984375" style="439" customWidth="1"/>
    <col min="14340" max="14340" width="35.26953125" style="439" customWidth="1"/>
    <col min="14341" max="14342" width="19.6328125" style="439" customWidth="1"/>
    <col min="14343" max="14343" width="9" style="439"/>
    <col min="14344" max="14344" width="29.08984375" style="439" bestFit="1" customWidth="1"/>
    <col min="14345" max="14592" width="9" style="439"/>
    <col min="14593" max="14595" width="15.08984375" style="439" customWidth="1"/>
    <col min="14596" max="14596" width="35.26953125" style="439" customWidth="1"/>
    <col min="14597" max="14598" width="19.6328125" style="439" customWidth="1"/>
    <col min="14599" max="14599" width="9" style="439"/>
    <col min="14600" max="14600" width="29.08984375" style="439" bestFit="1" customWidth="1"/>
    <col min="14601" max="14848" width="9" style="439"/>
    <col min="14849" max="14851" width="15.08984375" style="439" customWidth="1"/>
    <col min="14852" max="14852" width="35.26953125" style="439" customWidth="1"/>
    <col min="14853" max="14854" width="19.6328125" style="439" customWidth="1"/>
    <col min="14855" max="14855" width="9" style="439"/>
    <col min="14856" max="14856" width="29.08984375" style="439" bestFit="1" customWidth="1"/>
    <col min="14857" max="15104" width="9" style="439"/>
    <col min="15105" max="15107" width="15.08984375" style="439" customWidth="1"/>
    <col min="15108" max="15108" width="35.26953125" style="439" customWidth="1"/>
    <col min="15109" max="15110" width="19.6328125" style="439" customWidth="1"/>
    <col min="15111" max="15111" width="9" style="439"/>
    <col min="15112" max="15112" width="29.08984375" style="439" bestFit="1" customWidth="1"/>
    <col min="15113" max="15360" width="9" style="439"/>
    <col min="15361" max="15363" width="15.08984375" style="439" customWidth="1"/>
    <col min="15364" max="15364" width="35.26953125" style="439" customWidth="1"/>
    <col min="15365" max="15366" width="19.6328125" style="439" customWidth="1"/>
    <col min="15367" max="15367" width="9" style="439"/>
    <col min="15368" max="15368" width="29.08984375" style="439" bestFit="1" customWidth="1"/>
    <col min="15369" max="15616" width="9" style="439"/>
    <col min="15617" max="15619" width="15.08984375" style="439" customWidth="1"/>
    <col min="15620" max="15620" width="35.26953125" style="439" customWidth="1"/>
    <col min="15621" max="15622" width="19.6328125" style="439" customWidth="1"/>
    <col min="15623" max="15623" width="9" style="439"/>
    <col min="15624" max="15624" width="29.08984375" style="439" bestFit="1" customWidth="1"/>
    <col min="15625" max="15872" width="9" style="439"/>
    <col min="15873" max="15875" width="15.08984375" style="439" customWidth="1"/>
    <col min="15876" max="15876" width="35.26953125" style="439" customWidth="1"/>
    <col min="15877" max="15878" width="19.6328125" style="439" customWidth="1"/>
    <col min="15879" max="15879" width="9" style="439"/>
    <col min="15880" max="15880" width="29.08984375" style="439" bestFit="1" customWidth="1"/>
    <col min="15881" max="16128" width="9" style="439"/>
    <col min="16129" max="16131" width="15.08984375" style="439" customWidth="1"/>
    <col min="16132" max="16132" width="35.26953125" style="439" customWidth="1"/>
    <col min="16133" max="16134" width="19.6328125" style="439" customWidth="1"/>
    <col min="16135" max="16135" width="9" style="439"/>
    <col min="16136" max="16136" width="29.08984375" style="439" bestFit="1" customWidth="1"/>
    <col min="16137" max="16384" width="9" style="439"/>
  </cols>
  <sheetData>
    <row r="1" spans="1:13" ht="19.5" customHeight="1">
      <c r="A1" s="2565" t="s">
        <v>1820</v>
      </c>
      <c r="B1" s="2565"/>
      <c r="C1" s="2565"/>
      <c r="D1" s="2565"/>
      <c r="E1" s="2565"/>
      <c r="F1" s="2565"/>
      <c r="H1" s="440"/>
      <c r="J1" s="469" t="s">
        <v>1892</v>
      </c>
    </row>
    <row r="2" spans="1:13" ht="19.5" customHeight="1">
      <c r="A2" s="443"/>
      <c r="B2" s="443"/>
      <c r="C2" s="443"/>
      <c r="D2" s="443"/>
      <c r="E2" s="443"/>
      <c r="F2" s="443"/>
      <c r="H2" s="440"/>
      <c r="J2" s="442" t="str">
        <f>【楽天Edy用記入シート】業種シート!H5</f>
        <v/>
      </c>
    </row>
    <row r="3" spans="1:13" ht="15" customHeight="1">
      <c r="A3" s="444" t="s">
        <v>335</v>
      </c>
      <c r="B3" s="2964" t="str">
        <f>IF(J2=1,T(記入シート1!I61),"")</f>
        <v/>
      </c>
      <c r="C3" s="2965"/>
      <c r="H3" s="446"/>
      <c r="J3" s="442">
        <f>SUMPRODUCT((J7:J44)*1)</f>
        <v>25</v>
      </c>
    </row>
    <row r="4" spans="1:13" ht="15" customHeight="1">
      <c r="A4" s="447" t="s">
        <v>1821</v>
      </c>
      <c r="B4" s="2570" t="str">
        <f>IF(J2=1,T(【楽天Edy用記入シート】業種シート!$G$4),"")</f>
        <v/>
      </c>
      <c r="C4" s="2571"/>
      <c r="H4" s="446"/>
      <c r="J4" s="442"/>
    </row>
    <row r="5" spans="1:13" ht="15" customHeight="1">
      <c r="A5" s="447" t="s">
        <v>1822</v>
      </c>
      <c r="B5" s="2570" t="str">
        <f>IF(J2=1,T(【楽天Edy用記入シート】業種シート!$C$4),"")</f>
        <v/>
      </c>
      <c r="C5" s="2571"/>
      <c r="H5" s="446"/>
      <c r="J5" s="442"/>
    </row>
    <row r="6" spans="1:13" ht="15" customHeight="1">
      <c r="A6" s="447" t="s">
        <v>1823</v>
      </c>
      <c r="B6" s="2572" t="str">
        <f>IF(J2=1,記入シート2!AX8,"")</f>
        <v/>
      </c>
      <c r="C6" s="2573"/>
      <c r="H6" s="446"/>
      <c r="J6" s="442"/>
    </row>
    <row r="7" spans="1:13" ht="15" customHeight="1">
      <c r="A7" s="448" t="s">
        <v>1893</v>
      </c>
      <c r="B7" s="2563"/>
      <c r="C7" s="2564"/>
      <c r="H7" s="446"/>
      <c r="J7" s="449" t="b">
        <f>IF(B7="",TRUE,FALSE)</f>
        <v>1</v>
      </c>
    </row>
    <row r="8" spans="1:13" ht="7.5" customHeight="1">
      <c r="A8" s="443"/>
      <c r="B8" s="443"/>
      <c r="C8" s="443"/>
      <c r="D8" s="443"/>
      <c r="E8" s="443"/>
      <c r="F8" s="443"/>
      <c r="H8" s="440"/>
      <c r="J8" s="449"/>
    </row>
    <row r="9" spans="1:13" ht="14.25" customHeight="1">
      <c r="H9" s="446"/>
      <c r="J9" s="449"/>
    </row>
    <row r="10" spans="1:13" s="451" customFormat="1" ht="13.5" customHeight="1">
      <c r="A10" s="450" t="s">
        <v>1824</v>
      </c>
      <c r="B10" s="450"/>
      <c r="C10" s="450"/>
      <c r="D10" s="450"/>
      <c r="H10" s="446"/>
      <c r="I10" s="441"/>
      <c r="J10" s="449"/>
      <c r="K10" s="452"/>
      <c r="L10" s="452"/>
      <c r="M10" s="452"/>
    </row>
    <row r="11" spans="1:13" s="451" customFormat="1" ht="13.5" customHeight="1">
      <c r="A11" s="450" t="s">
        <v>1825</v>
      </c>
      <c r="B11" s="450"/>
      <c r="C11" s="450"/>
      <c r="D11" s="450"/>
      <c r="H11" s="446"/>
      <c r="I11" s="441"/>
      <c r="J11" s="449"/>
      <c r="K11" s="452"/>
      <c r="L11" s="452"/>
      <c r="M11" s="452"/>
    </row>
    <row r="12" spans="1:13" s="451" customFormat="1" ht="13.5" customHeight="1">
      <c r="A12" s="450" t="s">
        <v>1826</v>
      </c>
      <c r="B12" s="450"/>
      <c r="C12" s="450"/>
      <c r="D12" s="450"/>
      <c r="H12" s="446"/>
      <c r="I12" s="441"/>
      <c r="J12" s="449"/>
      <c r="K12" s="452"/>
      <c r="L12" s="452"/>
      <c r="M12" s="452"/>
    </row>
    <row r="13" spans="1:13" s="451" customFormat="1" ht="10.5" customHeight="1">
      <c r="A13" s="2558" t="s">
        <v>1827</v>
      </c>
      <c r="B13" s="2559"/>
      <c r="C13" s="2560" t="s">
        <v>1828</v>
      </c>
      <c r="D13" s="2561"/>
      <c r="E13" s="453" t="s">
        <v>1829</v>
      </c>
      <c r="F13" s="453" t="s">
        <v>319</v>
      </c>
      <c r="H13" s="446"/>
      <c r="I13" s="441"/>
      <c r="J13" s="449"/>
      <c r="K13" s="452"/>
      <c r="L13" s="452"/>
      <c r="M13" s="452"/>
    </row>
    <row r="14" spans="1:13" ht="24" customHeight="1">
      <c r="A14" s="2544" t="s">
        <v>1830</v>
      </c>
      <c r="B14" s="2545"/>
      <c r="C14" s="2544" t="s">
        <v>1831</v>
      </c>
      <c r="D14" s="2545"/>
      <c r="E14" s="423" t="s">
        <v>1891</v>
      </c>
      <c r="F14" s="463"/>
      <c r="H14" s="446"/>
      <c r="J14" s="449" t="b">
        <f>IF(E14="選択してください",TRUE,FALSE)</f>
        <v>1</v>
      </c>
    </row>
    <row r="15" spans="1:13" ht="23.25" customHeight="1">
      <c r="A15" s="2544" t="s">
        <v>1832</v>
      </c>
      <c r="B15" s="2545"/>
      <c r="C15" s="2544" t="s">
        <v>1833</v>
      </c>
      <c r="D15" s="2545"/>
      <c r="E15" s="423" t="s">
        <v>1891</v>
      </c>
      <c r="F15" s="463"/>
      <c r="H15" s="446"/>
      <c r="J15" s="449" t="b">
        <f>IF(E15="選択してください",TRUE,FALSE)</f>
        <v>1</v>
      </c>
    </row>
    <row r="16" spans="1:13" ht="23.25" customHeight="1">
      <c r="A16" s="454"/>
      <c r="B16" s="455"/>
      <c r="C16" s="455"/>
      <c r="D16" s="455"/>
      <c r="E16" s="456"/>
      <c r="F16" s="457"/>
      <c r="H16" s="446"/>
      <c r="J16" s="449"/>
    </row>
    <row r="17" spans="1:13" ht="12" customHeight="1">
      <c r="A17" s="450" t="s">
        <v>1834</v>
      </c>
      <c r="B17" s="450"/>
      <c r="C17" s="450"/>
      <c r="D17" s="450"/>
      <c r="E17" s="451"/>
      <c r="F17" s="451"/>
      <c r="H17" s="446"/>
      <c r="J17" s="449"/>
    </row>
    <row r="18" spans="1:13" s="451" customFormat="1" ht="12" customHeight="1">
      <c r="A18" s="2558" t="s">
        <v>1827</v>
      </c>
      <c r="B18" s="2559"/>
      <c r="C18" s="2560" t="s">
        <v>1828</v>
      </c>
      <c r="D18" s="2561"/>
      <c r="E18" s="453" t="s">
        <v>1829</v>
      </c>
      <c r="F18" s="453" t="s">
        <v>319</v>
      </c>
      <c r="H18" s="446"/>
      <c r="I18" s="441"/>
      <c r="J18" s="449"/>
      <c r="K18" s="452"/>
      <c r="L18" s="452"/>
      <c r="M18" s="452"/>
    </row>
    <row r="19" spans="1:13" ht="14.15" customHeight="1">
      <c r="A19" s="2544" t="s">
        <v>1835</v>
      </c>
      <c r="B19" s="2545"/>
      <c r="C19" s="458" t="s">
        <v>1836</v>
      </c>
      <c r="D19" s="459"/>
      <c r="E19" s="423" t="s">
        <v>1891</v>
      </c>
      <c r="F19" s="463"/>
      <c r="J19" s="449" t="b">
        <f t="shared" ref="J19:J31" si="0">IF(E19="選択してください",TRUE,FALSE)</f>
        <v>1</v>
      </c>
    </row>
    <row r="20" spans="1:13" ht="24.75" customHeight="1">
      <c r="A20" s="2544" t="s">
        <v>1837</v>
      </c>
      <c r="B20" s="2545"/>
      <c r="C20" s="2544" t="s">
        <v>1838</v>
      </c>
      <c r="D20" s="2545"/>
      <c r="E20" s="423" t="s">
        <v>3853</v>
      </c>
      <c r="F20" s="463"/>
      <c r="J20" s="449" t="b">
        <f t="shared" si="0"/>
        <v>1</v>
      </c>
    </row>
    <row r="21" spans="1:13" ht="24.25" customHeight="1">
      <c r="A21" s="2544" t="s">
        <v>1839</v>
      </c>
      <c r="B21" s="2545"/>
      <c r="C21" s="2544" t="s">
        <v>1840</v>
      </c>
      <c r="D21" s="2545"/>
      <c r="E21" s="423" t="s">
        <v>1891</v>
      </c>
      <c r="F21" s="463"/>
      <c r="J21" s="449" t="b">
        <f t="shared" si="0"/>
        <v>1</v>
      </c>
    </row>
    <row r="22" spans="1:13" ht="14.15" customHeight="1">
      <c r="A22" s="2544" t="s">
        <v>1841</v>
      </c>
      <c r="B22" s="2545"/>
      <c r="C22" s="458" t="s">
        <v>1842</v>
      </c>
      <c r="D22" s="459"/>
      <c r="E22" s="423" t="s">
        <v>1891</v>
      </c>
      <c r="F22" s="463"/>
      <c r="J22" s="449" t="b">
        <f t="shared" si="0"/>
        <v>1</v>
      </c>
    </row>
    <row r="23" spans="1:13" ht="14.15" customHeight="1">
      <c r="A23" s="2544" t="s">
        <v>1843</v>
      </c>
      <c r="B23" s="2545"/>
      <c r="C23" s="458" t="s">
        <v>1844</v>
      </c>
      <c r="D23" s="459"/>
      <c r="E23" s="423" t="s">
        <v>1891</v>
      </c>
      <c r="F23" s="463"/>
      <c r="J23" s="449" t="b">
        <f t="shared" si="0"/>
        <v>1</v>
      </c>
    </row>
    <row r="24" spans="1:13" ht="14.15" customHeight="1">
      <c r="A24" s="2544" t="s">
        <v>1845</v>
      </c>
      <c r="B24" s="2545"/>
      <c r="C24" s="458" t="s">
        <v>1846</v>
      </c>
      <c r="D24" s="459"/>
      <c r="E24" s="423" t="s">
        <v>1891</v>
      </c>
      <c r="F24" s="463"/>
      <c r="J24" s="449" t="b">
        <f t="shared" si="0"/>
        <v>1</v>
      </c>
    </row>
    <row r="25" spans="1:13" ht="14.15" customHeight="1">
      <c r="A25" s="2544" t="s">
        <v>1847</v>
      </c>
      <c r="B25" s="2545"/>
      <c r="C25" s="458" t="s">
        <v>1848</v>
      </c>
      <c r="D25" s="459"/>
      <c r="E25" s="423" t="s">
        <v>1891</v>
      </c>
      <c r="F25" s="463"/>
      <c r="J25" s="449" t="b">
        <f t="shared" si="0"/>
        <v>1</v>
      </c>
    </row>
    <row r="26" spans="1:13" ht="24.25" customHeight="1">
      <c r="A26" s="2544" t="s">
        <v>1849</v>
      </c>
      <c r="B26" s="2545"/>
      <c r="C26" s="2544" t="s">
        <v>1850</v>
      </c>
      <c r="D26" s="2562"/>
      <c r="E26" s="423" t="s">
        <v>1891</v>
      </c>
      <c r="F26" s="463"/>
      <c r="J26" s="449" t="b">
        <f t="shared" si="0"/>
        <v>1</v>
      </c>
    </row>
    <row r="27" spans="1:13" ht="24.25" customHeight="1">
      <c r="A27" s="2544" t="s">
        <v>1851</v>
      </c>
      <c r="B27" s="2545"/>
      <c r="C27" s="2544" t="s">
        <v>1852</v>
      </c>
      <c r="D27" s="2545"/>
      <c r="E27" s="423" t="s">
        <v>1891</v>
      </c>
      <c r="F27" s="463"/>
      <c r="J27" s="449" t="b">
        <f t="shared" si="0"/>
        <v>1</v>
      </c>
    </row>
    <row r="28" spans="1:13" ht="33" customHeight="1">
      <c r="A28" s="2544" t="s">
        <v>1853</v>
      </c>
      <c r="B28" s="2545"/>
      <c r="C28" s="2544" t="s">
        <v>1854</v>
      </c>
      <c r="D28" s="2545"/>
      <c r="E28" s="423" t="s">
        <v>1891</v>
      </c>
      <c r="F28" s="463"/>
      <c r="J28" s="449" t="b">
        <f t="shared" si="0"/>
        <v>1</v>
      </c>
    </row>
    <row r="29" spans="1:13" ht="28.5" customHeight="1">
      <c r="A29" s="2544" t="s">
        <v>1855</v>
      </c>
      <c r="B29" s="2545"/>
      <c r="C29" s="2544" t="s">
        <v>1856</v>
      </c>
      <c r="D29" s="2545"/>
      <c r="E29" s="423" t="s">
        <v>1891</v>
      </c>
      <c r="F29" s="463"/>
      <c r="J29" s="449" t="b">
        <f t="shared" si="0"/>
        <v>1</v>
      </c>
    </row>
    <row r="30" spans="1:13" ht="14.15" customHeight="1">
      <c r="A30" s="2544" t="s">
        <v>1857</v>
      </c>
      <c r="B30" s="2545"/>
      <c r="C30" s="458" t="s">
        <v>1858</v>
      </c>
      <c r="D30" s="459"/>
      <c r="E30" s="423" t="s">
        <v>1891</v>
      </c>
      <c r="F30" s="463"/>
      <c r="J30" s="449" t="b">
        <f t="shared" si="0"/>
        <v>1</v>
      </c>
    </row>
    <row r="31" spans="1:13" ht="31.5" customHeight="1">
      <c r="A31" s="2544" t="s">
        <v>1859</v>
      </c>
      <c r="B31" s="2545"/>
      <c r="C31" s="2544" t="s">
        <v>1860</v>
      </c>
      <c r="D31" s="2545"/>
      <c r="E31" s="423" t="s">
        <v>1891</v>
      </c>
      <c r="F31" s="463"/>
      <c r="J31" s="449" t="b">
        <f t="shared" si="0"/>
        <v>1</v>
      </c>
    </row>
    <row r="32" spans="1:13" ht="14.25" customHeight="1">
      <c r="A32" s="455"/>
      <c r="B32" s="455"/>
      <c r="C32" s="455"/>
      <c r="D32" s="455"/>
      <c r="E32" s="456"/>
      <c r="F32" s="457"/>
      <c r="J32" s="449"/>
    </row>
    <row r="33" spans="1:13" ht="16.75" customHeight="1">
      <c r="A33" s="451" t="s">
        <v>1861</v>
      </c>
      <c r="B33" s="450"/>
      <c r="C33" s="450"/>
      <c r="D33" s="450"/>
      <c r="E33" s="451"/>
      <c r="F33" s="451"/>
      <c r="J33" s="449"/>
    </row>
    <row r="34" spans="1:13" ht="12" customHeight="1">
      <c r="A34" s="451" t="s">
        <v>1862</v>
      </c>
      <c r="B34" s="450"/>
      <c r="C34" s="450"/>
      <c r="D34" s="450"/>
      <c r="E34" s="451"/>
      <c r="F34" s="451"/>
      <c r="I34" s="452"/>
      <c r="J34" s="449"/>
    </row>
    <row r="35" spans="1:13" s="451" customFormat="1" ht="14.25" customHeight="1">
      <c r="A35" s="2558" t="s">
        <v>1827</v>
      </c>
      <c r="B35" s="2559"/>
      <c r="C35" s="2560" t="s">
        <v>1828</v>
      </c>
      <c r="D35" s="2561"/>
      <c r="E35" s="453" t="s">
        <v>1829</v>
      </c>
      <c r="F35" s="453" t="s">
        <v>319</v>
      </c>
      <c r="H35" s="441"/>
      <c r="I35" s="452"/>
      <c r="J35" s="449"/>
      <c r="K35" s="452"/>
      <c r="L35" s="452"/>
      <c r="M35" s="452"/>
    </row>
    <row r="36" spans="1:13" s="451" customFormat="1" ht="24" customHeight="1">
      <c r="A36" s="2544" t="s">
        <v>1863</v>
      </c>
      <c r="B36" s="2545"/>
      <c r="C36" s="2544" t="s">
        <v>1864</v>
      </c>
      <c r="D36" s="2545"/>
      <c r="E36" s="423" t="s">
        <v>1891</v>
      </c>
      <c r="F36" s="463"/>
      <c r="H36" s="441"/>
      <c r="I36" s="452"/>
      <c r="J36" s="449" t="b">
        <f t="shared" ref="J36:J44" si="1">IF(E36="選択してください",TRUE,FALSE)</f>
        <v>1</v>
      </c>
      <c r="K36" s="452"/>
      <c r="L36" s="452"/>
      <c r="M36" s="452"/>
    </row>
    <row r="37" spans="1:13" s="451" customFormat="1" ht="24.25" customHeight="1">
      <c r="A37" s="2544" t="s">
        <v>1865</v>
      </c>
      <c r="B37" s="2545"/>
      <c r="C37" s="2544" t="s">
        <v>1866</v>
      </c>
      <c r="D37" s="2545"/>
      <c r="E37" s="423" t="s">
        <v>1891</v>
      </c>
      <c r="F37" s="463"/>
      <c r="H37" s="441"/>
      <c r="I37" s="441"/>
      <c r="J37" s="449" t="b">
        <f t="shared" si="1"/>
        <v>1</v>
      </c>
      <c r="K37" s="452"/>
      <c r="L37" s="452"/>
      <c r="M37" s="452"/>
    </row>
    <row r="38" spans="1:13" ht="16.75" customHeight="1">
      <c r="A38" s="2546" t="s">
        <v>1867</v>
      </c>
      <c r="B38" s="2547"/>
      <c r="C38" s="458" t="s">
        <v>1868</v>
      </c>
      <c r="D38" s="459"/>
      <c r="E38" s="423" t="s">
        <v>1891</v>
      </c>
      <c r="F38" s="463"/>
      <c r="J38" s="449" t="b">
        <f t="shared" si="1"/>
        <v>1</v>
      </c>
    </row>
    <row r="39" spans="1:13" ht="16.5" customHeight="1">
      <c r="A39" s="2548"/>
      <c r="B39" s="2549"/>
      <c r="C39" s="458" t="s">
        <v>1869</v>
      </c>
      <c r="D39" s="459"/>
      <c r="E39" s="423" t="s">
        <v>1891</v>
      </c>
      <c r="F39" s="463"/>
      <c r="H39" s="446"/>
      <c r="J39" s="449" t="b">
        <f t="shared" si="1"/>
        <v>1</v>
      </c>
    </row>
    <row r="40" spans="1:13" ht="16.75" customHeight="1">
      <c r="A40" s="2548"/>
      <c r="B40" s="2549"/>
      <c r="C40" s="458" t="s">
        <v>1870</v>
      </c>
      <c r="D40" s="459"/>
      <c r="E40" s="423" t="s">
        <v>1891</v>
      </c>
      <c r="F40" s="463"/>
      <c r="H40" s="446"/>
      <c r="J40" s="449" t="b">
        <f t="shared" si="1"/>
        <v>1</v>
      </c>
    </row>
    <row r="41" spans="1:13" ht="16.75" customHeight="1">
      <c r="A41" s="2548"/>
      <c r="B41" s="2549"/>
      <c r="C41" s="458" t="s">
        <v>1871</v>
      </c>
      <c r="D41" s="459"/>
      <c r="E41" s="423" t="s">
        <v>1891</v>
      </c>
      <c r="F41" s="463"/>
      <c r="J41" s="449" t="b">
        <f t="shared" si="1"/>
        <v>1</v>
      </c>
    </row>
    <row r="42" spans="1:13" ht="16.75" customHeight="1">
      <c r="A42" s="2548"/>
      <c r="B42" s="2549"/>
      <c r="C42" s="458" t="s">
        <v>1872</v>
      </c>
      <c r="D42" s="459"/>
      <c r="E42" s="423" t="s">
        <v>1891</v>
      </c>
      <c r="F42" s="463"/>
      <c r="J42" s="449" t="b">
        <f t="shared" si="1"/>
        <v>1</v>
      </c>
    </row>
    <row r="43" spans="1:13" ht="16.5" customHeight="1">
      <c r="A43" s="2548"/>
      <c r="B43" s="2549"/>
      <c r="C43" s="458" t="s">
        <v>1873</v>
      </c>
      <c r="D43" s="459"/>
      <c r="E43" s="423" t="s">
        <v>1891</v>
      </c>
      <c r="F43" s="463"/>
      <c r="J43" s="449" t="b">
        <f t="shared" si="1"/>
        <v>1</v>
      </c>
    </row>
    <row r="44" spans="1:13" ht="16.75" customHeight="1">
      <c r="A44" s="2550"/>
      <c r="B44" s="2551"/>
      <c r="C44" s="458" t="s">
        <v>1874</v>
      </c>
      <c r="D44" s="459"/>
      <c r="E44" s="423" t="s">
        <v>1891</v>
      </c>
      <c r="F44" s="463"/>
      <c r="J44" s="449" t="b">
        <f t="shared" si="1"/>
        <v>1</v>
      </c>
    </row>
    <row r="45" spans="1:13" ht="16.75" customHeight="1">
      <c r="A45" s="455"/>
      <c r="B45" s="455"/>
      <c r="C45" s="460"/>
      <c r="D45" s="460"/>
      <c r="E45" s="456"/>
      <c r="F45" s="457"/>
      <c r="J45" s="442"/>
    </row>
    <row r="46" spans="1:13" ht="16.75" customHeight="1" thickBot="1">
      <c r="A46" s="461" t="s">
        <v>1875</v>
      </c>
      <c r="J46" s="442"/>
    </row>
    <row r="47" spans="1:13" ht="20.5" customHeight="1">
      <c r="A47" s="2552"/>
      <c r="B47" s="2553"/>
      <c r="C47" s="2553"/>
      <c r="D47" s="2553"/>
      <c r="E47" s="2553"/>
      <c r="F47" s="2554"/>
      <c r="J47" s="442"/>
    </row>
    <row r="48" spans="1:13" ht="20.5" customHeight="1" thickBot="1">
      <c r="A48" s="2555"/>
      <c r="B48" s="2556"/>
      <c r="C48" s="2556"/>
      <c r="D48" s="2556"/>
      <c r="E48" s="2556"/>
      <c r="F48" s="2557"/>
      <c r="J48" s="442"/>
    </row>
    <row r="49" spans="6:10" ht="21" customHeight="1">
      <c r="J49" s="442"/>
    </row>
    <row r="50" spans="6:10">
      <c r="F50" s="462" t="s">
        <v>1876</v>
      </c>
      <c r="J50" s="442"/>
    </row>
  </sheetData>
  <sheetProtection password="842B" sheet="1" objects="1" scenarios="1" selectLockedCells="1"/>
  <mergeCells count="42">
    <mergeCell ref="A37:B37"/>
    <mergeCell ref="C37:D37"/>
    <mergeCell ref="A38:B44"/>
    <mergeCell ref="A30:B30"/>
    <mergeCell ref="A31:B31"/>
    <mergeCell ref="C31:D31"/>
    <mergeCell ref="A35:B35"/>
    <mergeCell ref="C35:D35"/>
    <mergeCell ref="A36:B36"/>
    <mergeCell ref="C36:D36"/>
    <mergeCell ref="A27:B27"/>
    <mergeCell ref="C27:D27"/>
    <mergeCell ref="A28:B28"/>
    <mergeCell ref="C28:D28"/>
    <mergeCell ref="A29:B29"/>
    <mergeCell ref="C29:D29"/>
    <mergeCell ref="A22:B22"/>
    <mergeCell ref="A23:B23"/>
    <mergeCell ref="A24:B24"/>
    <mergeCell ref="A25:B25"/>
    <mergeCell ref="A26:B26"/>
    <mergeCell ref="A19:B19"/>
    <mergeCell ref="A20:B20"/>
    <mergeCell ref="C20:D20"/>
    <mergeCell ref="A21:B21"/>
    <mergeCell ref="C21:D21"/>
    <mergeCell ref="B7:C7"/>
    <mergeCell ref="A47:F48"/>
    <mergeCell ref="A1:F1"/>
    <mergeCell ref="B3:C3"/>
    <mergeCell ref="B4:C4"/>
    <mergeCell ref="B5:C5"/>
    <mergeCell ref="B6:C6"/>
    <mergeCell ref="A13:B13"/>
    <mergeCell ref="C13:D13"/>
    <mergeCell ref="A14:B14"/>
    <mergeCell ref="C14:D14"/>
    <mergeCell ref="A15:B15"/>
    <mergeCell ref="C15:D15"/>
    <mergeCell ref="C26:D26"/>
    <mergeCell ref="A18:B18"/>
    <mergeCell ref="C18:D18"/>
  </mergeCells>
  <phoneticPr fontId="3"/>
  <conditionalFormatting sqref="B7:C7">
    <cfRule type="expression" dxfId="1" priority="1">
      <formula>AND($J$2=1,$B$7="")</formula>
    </cfRule>
  </conditionalFormatting>
  <conditionalFormatting sqref="E14:E15 E19:E31 E36:E44">
    <cfRule type="expression" dxfId="0" priority="2">
      <formula>AND($J$2=1,E14="選択してください")</formula>
    </cfRule>
  </conditionalFormatting>
  <dataValidations count="2">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xr:uid="{00000000-0002-0000-0B00-000000000000}">
      <formula1>$H$1:$H$18</formula1>
    </dataValidation>
    <dataValidation type="list" allowBlank="1" showInputMessage="1" showErrorMessage="1" sqref="E14:E15 E19:E31 E36:E44" xr:uid="{00000000-0002-0000-0B00-000001000000}">
      <formula1>"選択してください,はい,いいえ"</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00FF"/>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306" customWidth="1"/>
    <col min="2" max="2" width="14.6328125" style="306" customWidth="1"/>
    <col min="3" max="3" width="30.6328125" style="306" customWidth="1"/>
    <col min="4" max="4" width="5.453125" style="306" hidden="1" customWidth="1"/>
    <col min="5" max="7" width="8.6328125" style="306" hidden="1" customWidth="1"/>
    <col min="8" max="16384" width="9" style="306"/>
  </cols>
  <sheetData>
    <row r="1" spans="2:7">
      <c r="D1" s="873" t="s">
        <v>1073</v>
      </c>
      <c r="E1" s="873" t="s">
        <v>1073</v>
      </c>
      <c r="F1" s="873" t="s">
        <v>1073</v>
      </c>
      <c r="G1" s="873" t="s">
        <v>1073</v>
      </c>
    </row>
    <row r="2" spans="2:7" ht="26.5">
      <c r="B2" s="874" t="s">
        <v>4883</v>
      </c>
    </row>
    <row r="4" spans="2:7">
      <c r="B4" s="420" t="s">
        <v>1885</v>
      </c>
      <c r="C4" s="910" t="str">
        <f ca="1">IF(G5=0,"該当する業種を一覧の中からご選択ください。",OFFSET(C6,G5,0))</f>
        <v>該当する業種を一覧の中からご選択ください。</v>
      </c>
      <c r="G4" s="1058">
        <f ca="1">IF(G5=0,0,OFFSET(G6,G5,0))</f>
        <v>0</v>
      </c>
    </row>
    <row r="5" spans="2:7">
      <c r="G5" s="931">
        <v>0</v>
      </c>
    </row>
    <row r="6" spans="2:7" ht="30">
      <c r="B6" s="876" t="s">
        <v>1884</v>
      </c>
      <c r="C6" s="877" t="s">
        <v>4151</v>
      </c>
      <c r="D6" s="878" t="s">
        <v>4152</v>
      </c>
      <c r="G6" s="306" t="s">
        <v>4153</v>
      </c>
    </row>
    <row r="7" spans="2:7" ht="16.5" customHeight="1">
      <c r="B7" s="879"/>
      <c r="C7" s="879" t="s">
        <v>4884</v>
      </c>
      <c r="D7" s="880"/>
      <c r="G7" s="928" t="s">
        <v>4923</v>
      </c>
    </row>
    <row r="8" spans="2:7" ht="16.5" customHeight="1">
      <c r="B8" s="879"/>
      <c r="C8" s="879" t="s">
        <v>4885</v>
      </c>
      <c r="D8" s="880"/>
      <c r="G8" s="928">
        <v>1131</v>
      </c>
    </row>
    <row r="9" spans="2:7" ht="16.5" customHeight="1">
      <c r="B9" s="879"/>
      <c r="C9" s="879" t="s">
        <v>4886</v>
      </c>
      <c r="D9" s="880"/>
      <c r="G9" s="928">
        <v>1931</v>
      </c>
    </row>
    <row r="10" spans="2:7" ht="16.5" customHeight="1">
      <c r="B10" s="879"/>
      <c r="C10" s="879" t="s">
        <v>4887</v>
      </c>
      <c r="D10" s="880"/>
      <c r="G10" s="928">
        <v>4101</v>
      </c>
    </row>
    <row r="11" spans="2:7" ht="16.5" customHeight="1">
      <c r="B11" s="879"/>
      <c r="C11" s="879" t="s">
        <v>4888</v>
      </c>
      <c r="D11" s="880"/>
      <c r="G11" s="928">
        <v>4102</v>
      </c>
    </row>
    <row r="12" spans="2:7" ht="16.5" customHeight="1">
      <c r="B12" s="879"/>
      <c r="C12" s="879" t="s">
        <v>4889</v>
      </c>
      <c r="D12" s="880"/>
      <c r="G12" s="928">
        <v>4111</v>
      </c>
    </row>
    <row r="13" spans="2:7" ht="16.5" customHeight="1">
      <c r="B13" s="879"/>
      <c r="C13" s="879" t="s">
        <v>4890</v>
      </c>
      <c r="D13" s="880"/>
      <c r="G13" s="928">
        <v>4201</v>
      </c>
    </row>
    <row r="14" spans="2:7" ht="16.5" customHeight="1">
      <c r="B14" s="879"/>
      <c r="C14" s="879" t="s">
        <v>4891</v>
      </c>
      <c r="D14" s="880"/>
      <c r="G14" s="928">
        <v>4202</v>
      </c>
    </row>
    <row r="15" spans="2:7" ht="16.5" customHeight="1">
      <c r="B15" s="879"/>
      <c r="C15" s="879" t="s">
        <v>4892</v>
      </c>
      <c r="D15" s="880"/>
      <c r="G15" s="928">
        <v>4211</v>
      </c>
    </row>
    <row r="16" spans="2:7" ht="16.5" customHeight="1">
      <c r="B16" s="879"/>
      <c r="C16" s="879" t="s">
        <v>4893</v>
      </c>
      <c r="D16" s="880"/>
      <c r="G16" s="928">
        <v>4311</v>
      </c>
    </row>
    <row r="17" spans="2:7" ht="16.5" customHeight="1">
      <c r="B17" s="879"/>
      <c r="C17" s="879" t="s">
        <v>4894</v>
      </c>
      <c r="D17" s="880"/>
      <c r="G17" s="928">
        <v>4411</v>
      </c>
    </row>
    <row r="18" spans="2:7" ht="16.5" customHeight="1">
      <c r="B18" s="879"/>
      <c r="C18" s="879" t="s">
        <v>1733</v>
      </c>
      <c r="D18" s="880"/>
      <c r="G18" s="928">
        <v>4601</v>
      </c>
    </row>
    <row r="19" spans="2:7" ht="16.5" customHeight="1">
      <c r="B19" s="879"/>
      <c r="C19" s="879" t="s">
        <v>4895</v>
      </c>
      <c r="D19" s="880"/>
      <c r="G19" s="928">
        <v>4641</v>
      </c>
    </row>
    <row r="20" spans="2:7" ht="16.5" customHeight="1">
      <c r="B20" s="879"/>
      <c r="C20" s="879" t="s">
        <v>4896</v>
      </c>
      <c r="D20" s="880"/>
      <c r="G20" s="928">
        <v>4691</v>
      </c>
    </row>
    <row r="21" spans="2:7" ht="16.5" customHeight="1">
      <c r="B21" s="879"/>
      <c r="C21" s="879" t="s">
        <v>4897</v>
      </c>
      <c r="D21" s="880"/>
      <c r="G21" s="928">
        <v>4701</v>
      </c>
    </row>
    <row r="22" spans="2:7" ht="16.5" customHeight="1">
      <c r="B22" s="879"/>
      <c r="C22" s="879" t="s">
        <v>5013</v>
      </c>
      <c r="D22" s="880"/>
      <c r="G22" s="928">
        <v>4702</v>
      </c>
    </row>
    <row r="23" spans="2:7" ht="16.5" customHeight="1">
      <c r="B23" s="879"/>
      <c r="C23" s="879" t="s">
        <v>4898</v>
      </c>
      <c r="D23" s="880"/>
      <c r="G23" s="928">
        <v>4711</v>
      </c>
    </row>
    <row r="24" spans="2:7" ht="16.5" customHeight="1">
      <c r="B24" s="879"/>
      <c r="C24" s="879" t="s">
        <v>4899</v>
      </c>
      <c r="D24" s="880"/>
      <c r="G24" s="928">
        <v>5301</v>
      </c>
    </row>
    <row r="25" spans="2:7" ht="16.5" customHeight="1">
      <c r="B25" s="879"/>
      <c r="C25" s="879" t="s">
        <v>4158</v>
      </c>
      <c r="D25" s="880"/>
      <c r="G25" s="928">
        <v>5302</v>
      </c>
    </row>
    <row r="26" spans="2:7" ht="16.5" customHeight="1">
      <c r="B26" s="879"/>
      <c r="C26" s="879" t="s">
        <v>4900</v>
      </c>
      <c r="D26" s="880"/>
      <c r="G26" s="928">
        <v>5303</v>
      </c>
    </row>
    <row r="27" spans="2:7" ht="16.5" customHeight="1">
      <c r="B27" s="879"/>
      <c r="C27" s="879" t="s">
        <v>4901</v>
      </c>
      <c r="D27" s="880"/>
      <c r="G27" s="928">
        <v>5304</v>
      </c>
    </row>
    <row r="28" spans="2:7" ht="16.5" customHeight="1">
      <c r="B28" s="879"/>
      <c r="C28" s="879" t="s">
        <v>4902</v>
      </c>
      <c r="D28" s="880"/>
      <c r="G28" s="928">
        <v>5305</v>
      </c>
    </row>
    <row r="29" spans="2:7" ht="16.5" customHeight="1">
      <c r="B29" s="879"/>
      <c r="C29" s="879" t="s">
        <v>4903</v>
      </c>
      <c r="D29" s="880"/>
      <c r="G29" s="928">
        <v>5306</v>
      </c>
    </row>
    <row r="30" spans="2:7" ht="16.5" customHeight="1">
      <c r="B30" s="879"/>
      <c r="C30" s="879" t="s">
        <v>4904</v>
      </c>
      <c r="D30" s="880"/>
      <c r="G30" s="928">
        <v>5307</v>
      </c>
    </row>
    <row r="31" spans="2:7" ht="16.5" customHeight="1">
      <c r="B31" s="879"/>
      <c r="C31" s="879" t="s">
        <v>2275</v>
      </c>
      <c r="D31" s="880"/>
      <c r="G31" s="928">
        <v>5308</v>
      </c>
    </row>
    <row r="32" spans="2:7" ht="16.5" customHeight="1">
      <c r="B32" s="879"/>
      <c r="C32" s="879" t="s">
        <v>4905</v>
      </c>
      <c r="D32" s="880"/>
      <c r="G32" s="928">
        <v>5309</v>
      </c>
    </row>
    <row r="33" spans="2:7" ht="16.5" customHeight="1">
      <c r="B33" s="879"/>
      <c r="C33" s="879" t="s">
        <v>5012</v>
      </c>
      <c r="D33" s="880"/>
      <c r="G33" s="928">
        <v>5311</v>
      </c>
    </row>
    <row r="34" spans="2:7" ht="16.5" customHeight="1">
      <c r="B34" s="879"/>
      <c r="C34" s="879" t="s">
        <v>4906</v>
      </c>
      <c r="D34" s="880"/>
      <c r="G34" s="928">
        <v>5312</v>
      </c>
    </row>
    <row r="35" spans="2:7" ht="16.5" customHeight="1">
      <c r="B35" s="879"/>
      <c r="C35" s="879" t="s">
        <v>4907</v>
      </c>
      <c r="D35" s="880"/>
      <c r="G35" s="928">
        <v>5313</v>
      </c>
    </row>
    <row r="36" spans="2:7" ht="16.5" customHeight="1">
      <c r="B36" s="879"/>
      <c r="C36" s="879" t="s">
        <v>5010</v>
      </c>
      <c r="D36" s="880"/>
      <c r="G36" s="928">
        <v>5315</v>
      </c>
    </row>
    <row r="37" spans="2:7" ht="16.5" customHeight="1">
      <c r="B37" s="879"/>
      <c r="C37" s="879" t="s">
        <v>5011</v>
      </c>
      <c r="D37" s="880"/>
      <c r="G37" s="928">
        <v>5319</v>
      </c>
    </row>
    <row r="38" spans="2:7" ht="16.5" customHeight="1">
      <c r="B38" s="879"/>
      <c r="C38" s="879" t="s">
        <v>4908</v>
      </c>
      <c r="D38" s="880"/>
      <c r="G38" s="928">
        <v>5401</v>
      </c>
    </row>
    <row r="39" spans="2:7" ht="16.5" customHeight="1">
      <c r="B39" s="879"/>
      <c r="C39" s="879" t="s">
        <v>4909</v>
      </c>
      <c r="D39" s="880"/>
      <c r="G39" s="928">
        <v>5402</v>
      </c>
    </row>
    <row r="40" spans="2:7" ht="16.5" customHeight="1">
      <c r="B40" s="879"/>
      <c r="C40" s="879" t="s">
        <v>4910</v>
      </c>
      <c r="D40" s="880"/>
      <c r="G40" s="928">
        <v>5403</v>
      </c>
    </row>
    <row r="41" spans="2:7" ht="16.5" customHeight="1">
      <c r="B41" s="879"/>
      <c r="C41" s="879" t="s">
        <v>4911</v>
      </c>
      <c r="D41" s="880"/>
      <c r="G41" s="928">
        <v>5404</v>
      </c>
    </row>
    <row r="42" spans="2:7" ht="16.5" customHeight="1">
      <c r="B42" s="879"/>
      <c r="C42" s="879" t="s">
        <v>4912</v>
      </c>
      <c r="D42" s="880"/>
      <c r="G42" s="928">
        <v>5405</v>
      </c>
    </row>
    <row r="43" spans="2:7" ht="16.5" customHeight="1">
      <c r="B43" s="879"/>
      <c r="C43" s="879" t="s">
        <v>4913</v>
      </c>
      <c r="D43" s="880"/>
      <c r="G43" s="928">
        <v>5411</v>
      </c>
    </row>
    <row r="44" spans="2:7" ht="16.5" customHeight="1">
      <c r="B44" s="879"/>
      <c r="C44" s="879" t="s">
        <v>4914</v>
      </c>
      <c r="D44" s="880"/>
      <c r="G44" s="928">
        <v>5412</v>
      </c>
    </row>
    <row r="45" spans="2:7" ht="16.5" customHeight="1">
      <c r="B45" s="879"/>
      <c r="C45" s="879" t="s">
        <v>4915</v>
      </c>
      <c r="D45" s="880"/>
      <c r="G45" s="928">
        <v>5413</v>
      </c>
    </row>
    <row r="46" spans="2:7" ht="16.5" customHeight="1">
      <c r="B46" s="879"/>
      <c r="C46" s="879" t="s">
        <v>4916</v>
      </c>
      <c r="D46" s="880"/>
      <c r="G46" s="928">
        <v>5414</v>
      </c>
    </row>
    <row r="47" spans="2:7" ht="16.5" customHeight="1">
      <c r="B47" s="879"/>
      <c r="C47" s="879" t="s">
        <v>4917</v>
      </c>
      <c r="D47" s="880"/>
      <c r="G47" s="928">
        <v>5501</v>
      </c>
    </row>
    <row r="48" spans="2:7" ht="16.5" customHeight="1">
      <c r="B48" s="879"/>
      <c r="C48" s="879" t="s">
        <v>4918</v>
      </c>
      <c r="D48" s="880"/>
      <c r="G48" s="928">
        <v>5502</v>
      </c>
    </row>
    <row r="49" spans="2:7" ht="16.5" customHeight="1">
      <c r="B49" s="879"/>
      <c r="C49" s="879" t="s">
        <v>4919</v>
      </c>
      <c r="D49" s="880"/>
      <c r="G49" s="928">
        <v>5611</v>
      </c>
    </row>
    <row r="50" spans="2:7" ht="16.5" customHeight="1">
      <c r="B50" s="879"/>
      <c r="C50" s="879" t="s">
        <v>4920</v>
      </c>
      <c r="D50" s="880"/>
      <c r="G50" s="928">
        <v>5612</v>
      </c>
    </row>
    <row r="51" spans="2:7" ht="16.5" customHeight="1">
      <c r="B51" s="879"/>
      <c r="C51" s="879" t="s">
        <v>4921</v>
      </c>
      <c r="D51" s="880"/>
      <c r="G51" s="928">
        <v>5711</v>
      </c>
    </row>
    <row r="52" spans="2:7" ht="16.5" customHeight="1">
      <c r="B52" s="879"/>
      <c r="C52" s="879" t="s">
        <v>4922</v>
      </c>
      <c r="D52" s="880"/>
      <c r="G52" s="928">
        <v>5712</v>
      </c>
    </row>
    <row r="53" spans="2:7" ht="16.5" customHeight="1">
      <c r="B53" s="879"/>
      <c r="C53" s="879" t="s">
        <v>4924</v>
      </c>
      <c r="D53" s="880"/>
      <c r="G53" s="928">
        <v>5713</v>
      </c>
    </row>
    <row r="54" spans="2:7" ht="16.5" customHeight="1">
      <c r="B54" s="879"/>
      <c r="C54" s="879" t="s">
        <v>4925</v>
      </c>
      <c r="D54" s="880"/>
      <c r="G54" s="928">
        <v>5811</v>
      </c>
    </row>
    <row r="55" spans="2:7" ht="16.5" customHeight="1">
      <c r="B55" s="879"/>
      <c r="C55" s="879" t="s">
        <v>4926</v>
      </c>
      <c r="D55" s="880"/>
      <c r="G55" s="928">
        <v>5812</v>
      </c>
    </row>
    <row r="56" spans="2:7" ht="16.5" customHeight="1">
      <c r="B56" s="879"/>
      <c r="C56" s="879" t="s">
        <v>1675</v>
      </c>
      <c r="D56" s="880"/>
      <c r="G56" s="928">
        <v>5831</v>
      </c>
    </row>
    <row r="57" spans="2:7" ht="16.5" customHeight="1">
      <c r="B57" s="879"/>
      <c r="C57" s="879" t="s">
        <v>4927</v>
      </c>
      <c r="D57" s="880"/>
      <c r="G57" s="928">
        <v>5841</v>
      </c>
    </row>
    <row r="58" spans="2:7" ht="16.5" customHeight="1">
      <c r="B58" s="879"/>
      <c r="C58" s="879" t="s">
        <v>4928</v>
      </c>
      <c r="D58" s="880"/>
      <c r="G58" s="928">
        <v>5842</v>
      </c>
    </row>
    <row r="59" spans="2:7" ht="16.5" customHeight="1">
      <c r="B59" s="879"/>
      <c r="C59" s="879" t="s">
        <v>4929</v>
      </c>
      <c r="D59" s="880"/>
      <c r="G59" s="928">
        <v>5843</v>
      </c>
    </row>
    <row r="60" spans="2:7" ht="16.5" customHeight="1">
      <c r="B60" s="879"/>
      <c r="C60" s="879" t="s">
        <v>4930</v>
      </c>
      <c r="D60" s="880"/>
      <c r="G60" s="928">
        <v>5851</v>
      </c>
    </row>
    <row r="61" spans="2:7" ht="16.5" customHeight="1">
      <c r="B61" s="879"/>
      <c r="C61" s="879" t="s">
        <v>4931</v>
      </c>
      <c r="D61" s="880"/>
      <c r="G61" s="928">
        <v>5852</v>
      </c>
    </row>
    <row r="62" spans="2:7" ht="16.5" customHeight="1">
      <c r="B62" s="879"/>
      <c r="C62" s="879" t="s">
        <v>4932</v>
      </c>
      <c r="D62" s="880"/>
      <c r="G62" s="928">
        <v>5853</v>
      </c>
    </row>
    <row r="63" spans="2:7" ht="16.5" customHeight="1">
      <c r="B63" s="879"/>
      <c r="C63" s="879" t="s">
        <v>4933</v>
      </c>
      <c r="D63" s="880"/>
      <c r="G63" s="928">
        <v>5854</v>
      </c>
    </row>
    <row r="64" spans="2:7">
      <c r="B64" s="879"/>
      <c r="C64" s="879" t="s">
        <v>4934</v>
      </c>
      <c r="D64" s="880"/>
      <c r="G64" s="928">
        <v>5855</v>
      </c>
    </row>
    <row r="65" spans="2:7" ht="16.5" customHeight="1">
      <c r="B65" s="879"/>
      <c r="C65" s="879" t="s">
        <v>4935</v>
      </c>
      <c r="D65" s="880"/>
      <c r="G65" s="928">
        <v>5856</v>
      </c>
    </row>
    <row r="66" spans="2:7" ht="16.5" customHeight="1">
      <c r="B66" s="879"/>
      <c r="C66" s="879" t="s">
        <v>4652</v>
      </c>
      <c r="D66" s="880"/>
      <c r="G66" s="928">
        <v>5861</v>
      </c>
    </row>
    <row r="67" spans="2:7" ht="16.5" customHeight="1">
      <c r="B67" s="879"/>
      <c r="C67" s="879" t="s">
        <v>4936</v>
      </c>
      <c r="D67" s="880"/>
      <c r="G67" s="928">
        <v>5862</v>
      </c>
    </row>
    <row r="68" spans="2:7" ht="16.5" customHeight="1">
      <c r="B68" s="879"/>
      <c r="C68" s="879" t="s">
        <v>4937</v>
      </c>
      <c r="D68" s="880"/>
      <c r="G68" s="928">
        <v>5863</v>
      </c>
    </row>
    <row r="69" spans="2:7" ht="16.5" customHeight="1">
      <c r="B69" s="879"/>
      <c r="C69" s="879" t="s">
        <v>4938</v>
      </c>
      <c r="D69" s="880"/>
      <c r="G69" s="928">
        <v>5864</v>
      </c>
    </row>
    <row r="70" spans="2:7" ht="16.5" customHeight="1">
      <c r="B70" s="879"/>
      <c r="C70" s="879" t="s">
        <v>4939</v>
      </c>
      <c r="D70" s="880"/>
      <c r="G70" s="928">
        <v>5872</v>
      </c>
    </row>
    <row r="71" spans="2:7" ht="16.5" customHeight="1">
      <c r="B71" s="879"/>
      <c r="C71" s="879" t="s">
        <v>4940</v>
      </c>
      <c r="D71" s="880"/>
      <c r="G71" s="928">
        <v>5881</v>
      </c>
    </row>
    <row r="72" spans="2:7" ht="16.5" customHeight="1">
      <c r="B72" s="879"/>
      <c r="C72" s="879" t="s">
        <v>4755</v>
      </c>
      <c r="D72" s="880"/>
      <c r="G72" s="928">
        <v>5891</v>
      </c>
    </row>
    <row r="73" spans="2:7" ht="16.5" customHeight="1">
      <c r="B73" s="879"/>
      <c r="C73" s="879" t="s">
        <v>4941</v>
      </c>
      <c r="D73" s="880"/>
      <c r="G73" s="928">
        <v>5892</v>
      </c>
    </row>
    <row r="74" spans="2:7" ht="16.5" customHeight="1">
      <c r="B74" s="879"/>
      <c r="C74" s="879" t="s">
        <v>4942</v>
      </c>
      <c r="D74" s="880"/>
      <c r="G74" s="928">
        <v>5893</v>
      </c>
    </row>
    <row r="75" spans="2:7" ht="16.5" customHeight="1">
      <c r="B75" s="879"/>
      <c r="C75" s="879" t="s">
        <v>4943</v>
      </c>
      <c r="D75" s="880"/>
      <c r="G75" s="928">
        <v>5894</v>
      </c>
    </row>
    <row r="76" spans="2:7" ht="16.5" customHeight="1">
      <c r="B76" s="879"/>
      <c r="C76" s="879" t="s">
        <v>4944</v>
      </c>
      <c r="D76" s="880"/>
      <c r="G76" s="928">
        <v>5895</v>
      </c>
    </row>
    <row r="77" spans="2:7" ht="16.5" customHeight="1">
      <c r="B77" s="879"/>
      <c r="C77" s="879" t="s">
        <v>4945</v>
      </c>
      <c r="D77" s="880"/>
      <c r="G77" s="928">
        <v>5899</v>
      </c>
    </row>
    <row r="78" spans="2:7" ht="16.5" customHeight="1">
      <c r="B78" s="879"/>
      <c r="C78" s="879" t="s">
        <v>5009</v>
      </c>
      <c r="D78" s="880"/>
      <c r="G78" s="928">
        <v>5901</v>
      </c>
    </row>
    <row r="79" spans="2:7" ht="16.5" customHeight="1">
      <c r="B79" s="879"/>
      <c r="C79" s="879" t="s">
        <v>4946</v>
      </c>
      <c r="D79" s="880"/>
      <c r="G79" s="928">
        <v>5902</v>
      </c>
    </row>
    <row r="80" spans="2:7" ht="16.5" customHeight="1">
      <c r="B80" s="879"/>
      <c r="C80" s="879" t="s">
        <v>5007</v>
      </c>
      <c r="D80" s="880"/>
      <c r="G80" s="928">
        <v>5903</v>
      </c>
    </row>
    <row r="81" spans="2:7" ht="16.5" customHeight="1">
      <c r="B81" s="879"/>
      <c r="C81" s="879" t="s">
        <v>5008</v>
      </c>
      <c r="D81" s="880"/>
      <c r="G81" s="928">
        <v>5904</v>
      </c>
    </row>
    <row r="82" spans="2:7" ht="16.5" customHeight="1">
      <c r="B82" s="879"/>
      <c r="C82" s="879" t="s">
        <v>4947</v>
      </c>
      <c r="D82" s="880"/>
      <c r="G82" s="928">
        <v>5905</v>
      </c>
    </row>
    <row r="83" spans="2:7" ht="16.5" customHeight="1">
      <c r="B83" s="879"/>
      <c r="C83" s="879" t="s">
        <v>5006</v>
      </c>
      <c r="D83" s="880"/>
      <c r="G83" s="928">
        <v>5906</v>
      </c>
    </row>
    <row r="84" spans="2:7" ht="16.5" customHeight="1">
      <c r="B84" s="879"/>
      <c r="C84" s="879" t="s">
        <v>4948</v>
      </c>
      <c r="D84" s="880"/>
      <c r="G84" s="928">
        <v>6001</v>
      </c>
    </row>
    <row r="85" spans="2:7" ht="16.5" customHeight="1">
      <c r="B85" s="879"/>
      <c r="C85" s="879" t="s">
        <v>4949</v>
      </c>
      <c r="D85" s="880"/>
      <c r="G85" s="928">
        <v>6002</v>
      </c>
    </row>
    <row r="86" spans="2:7" ht="16.5" customHeight="1">
      <c r="B86" s="879"/>
      <c r="C86" s="879" t="s">
        <v>4950</v>
      </c>
      <c r="D86" s="880"/>
      <c r="G86" s="928">
        <v>6003</v>
      </c>
    </row>
    <row r="87" spans="2:7" ht="16.5" customHeight="1">
      <c r="B87" s="879"/>
      <c r="C87" s="879" t="s">
        <v>5004</v>
      </c>
      <c r="D87" s="880"/>
      <c r="G87" s="928">
        <v>6004</v>
      </c>
    </row>
    <row r="88" spans="2:7" ht="16.5" customHeight="1">
      <c r="B88" s="879"/>
      <c r="C88" s="879" t="s">
        <v>4951</v>
      </c>
      <c r="D88" s="880"/>
      <c r="G88" s="928">
        <v>6010</v>
      </c>
    </row>
    <row r="89" spans="2:7" ht="16.5" customHeight="1">
      <c r="B89" s="879"/>
      <c r="C89" s="879" t="s">
        <v>5003</v>
      </c>
      <c r="D89" s="880"/>
      <c r="G89" s="928">
        <v>6011</v>
      </c>
    </row>
    <row r="90" spans="2:7" ht="16.5" customHeight="1">
      <c r="B90" s="879"/>
      <c r="C90" s="879" t="s">
        <v>4952</v>
      </c>
      <c r="D90" s="880"/>
      <c r="G90" s="928">
        <v>6012</v>
      </c>
    </row>
    <row r="91" spans="2:7" ht="16.5" customHeight="1">
      <c r="B91" s="879"/>
      <c r="C91" s="879" t="s">
        <v>4953</v>
      </c>
      <c r="D91" s="880"/>
      <c r="G91" s="928">
        <v>6019</v>
      </c>
    </row>
    <row r="92" spans="2:7" ht="16.5" customHeight="1">
      <c r="B92" s="879"/>
      <c r="C92" s="879" t="s">
        <v>5005</v>
      </c>
      <c r="D92" s="880"/>
      <c r="G92" s="928">
        <v>6021</v>
      </c>
    </row>
    <row r="93" spans="2:7" ht="16.5" customHeight="1">
      <c r="B93" s="879"/>
      <c r="C93" s="879" t="s">
        <v>4954</v>
      </c>
      <c r="D93" s="880"/>
      <c r="G93" s="928">
        <v>6121</v>
      </c>
    </row>
    <row r="94" spans="2:7" ht="16.5" customHeight="1">
      <c r="B94" s="879"/>
      <c r="C94" s="879" t="s">
        <v>4955</v>
      </c>
      <c r="D94" s="880"/>
      <c r="G94" s="928">
        <v>6211</v>
      </c>
    </row>
    <row r="95" spans="2:7" ht="16.5" customHeight="1">
      <c r="B95" s="879"/>
      <c r="C95" s="879" t="s">
        <v>4956</v>
      </c>
      <c r="D95" s="880"/>
      <c r="G95" s="928">
        <v>6212</v>
      </c>
    </row>
    <row r="96" spans="2:7">
      <c r="B96" s="879"/>
      <c r="C96" s="879" t="s">
        <v>4957</v>
      </c>
      <c r="D96" s="879"/>
      <c r="G96" s="928">
        <v>6213</v>
      </c>
    </row>
    <row r="97" spans="2:7">
      <c r="B97" s="879"/>
      <c r="C97" s="879" t="s">
        <v>4994</v>
      </c>
      <c r="D97" s="879"/>
      <c r="G97" s="928">
        <v>6321</v>
      </c>
    </row>
    <row r="98" spans="2:7">
      <c r="B98" s="879"/>
      <c r="C98" s="879" t="s">
        <v>4995</v>
      </c>
      <c r="D98" s="879"/>
      <c r="G98" s="928">
        <v>7019</v>
      </c>
    </row>
    <row r="99" spans="2:7">
      <c r="B99" s="879"/>
      <c r="C99" s="879" t="s">
        <v>4996</v>
      </c>
      <c r="D99" s="879"/>
      <c r="G99" s="928">
        <v>7211</v>
      </c>
    </row>
    <row r="100" spans="2:7">
      <c r="B100" s="879"/>
      <c r="C100" s="879" t="s">
        <v>1682</v>
      </c>
      <c r="D100" s="879"/>
      <c r="G100" s="928">
        <v>7241</v>
      </c>
    </row>
    <row r="101" spans="2:7">
      <c r="B101" s="879"/>
      <c r="C101" s="879" t="s">
        <v>5002</v>
      </c>
      <c r="D101" s="879"/>
      <c r="G101" s="928">
        <v>7251</v>
      </c>
    </row>
    <row r="102" spans="2:7">
      <c r="B102" s="879"/>
      <c r="C102" s="879" t="s">
        <v>4997</v>
      </c>
      <c r="D102" s="879"/>
      <c r="G102" s="928">
        <v>7252</v>
      </c>
    </row>
    <row r="103" spans="2:7">
      <c r="B103" s="879"/>
      <c r="C103" s="879" t="s">
        <v>4998</v>
      </c>
      <c r="D103" s="879"/>
      <c r="G103" s="928">
        <v>7253</v>
      </c>
    </row>
    <row r="104" spans="2:7">
      <c r="B104" s="879"/>
      <c r="C104" s="879" t="s">
        <v>4999</v>
      </c>
      <c r="D104" s="879"/>
      <c r="G104" s="928">
        <v>7301</v>
      </c>
    </row>
    <row r="105" spans="2:7">
      <c r="B105" s="879"/>
      <c r="C105" s="879" t="s">
        <v>5000</v>
      </c>
      <c r="D105" s="879"/>
      <c r="G105" s="928">
        <v>7311</v>
      </c>
    </row>
    <row r="106" spans="2:7">
      <c r="B106" s="879"/>
      <c r="C106" s="879" t="s">
        <v>4265</v>
      </c>
      <c r="D106" s="879"/>
      <c r="G106" s="928">
        <v>7511</v>
      </c>
    </row>
    <row r="107" spans="2:7">
      <c r="B107" s="879"/>
      <c r="C107" s="879" t="s">
        <v>5001</v>
      </c>
      <c r="D107" s="879"/>
      <c r="G107" s="928">
        <v>7512</v>
      </c>
    </row>
    <row r="108" spans="2:7">
      <c r="B108" s="879"/>
      <c r="C108" s="879" t="s">
        <v>4958</v>
      </c>
      <c r="D108" s="879"/>
      <c r="G108" s="928">
        <v>7541</v>
      </c>
    </row>
    <row r="109" spans="2:7">
      <c r="B109" s="879"/>
      <c r="C109" s="879" t="s">
        <v>4959</v>
      </c>
      <c r="D109" s="879"/>
      <c r="G109" s="928">
        <v>7613</v>
      </c>
    </row>
    <row r="110" spans="2:7">
      <c r="B110" s="879"/>
      <c r="C110" s="879" t="s">
        <v>4960</v>
      </c>
      <c r="D110" s="879"/>
      <c r="G110" s="928">
        <v>7641</v>
      </c>
    </row>
    <row r="111" spans="2:7">
      <c r="B111" s="879"/>
      <c r="C111" s="879" t="s">
        <v>4961</v>
      </c>
      <c r="D111" s="879"/>
      <c r="G111" s="928">
        <v>7642</v>
      </c>
    </row>
    <row r="112" spans="2:7">
      <c r="B112" s="879"/>
      <c r="C112" s="879" t="s">
        <v>4962</v>
      </c>
      <c r="D112" s="879"/>
      <c r="G112" s="928">
        <v>7643</v>
      </c>
    </row>
    <row r="113" spans="2:7">
      <c r="B113" s="879"/>
      <c r="C113" s="879" t="s">
        <v>4222</v>
      </c>
      <c r="D113" s="879"/>
      <c r="G113" s="928">
        <v>7691</v>
      </c>
    </row>
    <row r="114" spans="2:7">
      <c r="B114" s="879"/>
      <c r="C114" s="879" t="s">
        <v>4993</v>
      </c>
      <c r="D114" s="879"/>
      <c r="G114" s="928">
        <v>7692</v>
      </c>
    </row>
    <row r="115" spans="2:7">
      <c r="B115" s="879"/>
      <c r="C115" s="879" t="s">
        <v>4963</v>
      </c>
      <c r="D115" s="879"/>
      <c r="G115" s="928">
        <v>7811</v>
      </c>
    </row>
    <row r="116" spans="2:7">
      <c r="B116" s="879"/>
      <c r="C116" s="879" t="s">
        <v>4964</v>
      </c>
      <c r="D116" s="879"/>
      <c r="G116" s="928">
        <v>7812</v>
      </c>
    </row>
    <row r="117" spans="2:7">
      <c r="B117" s="879"/>
      <c r="C117" s="879" t="s">
        <v>4965</v>
      </c>
      <c r="D117" s="879"/>
      <c r="G117" s="928">
        <v>7813</v>
      </c>
    </row>
    <row r="118" spans="2:7">
      <c r="B118" s="879"/>
      <c r="C118" s="879" t="s">
        <v>4991</v>
      </c>
      <c r="D118" s="879"/>
      <c r="G118" s="928">
        <v>7814</v>
      </c>
    </row>
    <row r="119" spans="2:7">
      <c r="B119" s="879"/>
      <c r="C119" s="879" t="s">
        <v>4966</v>
      </c>
      <c r="D119" s="879"/>
      <c r="G119" s="928">
        <v>7815</v>
      </c>
    </row>
    <row r="120" spans="2:7">
      <c r="B120" s="879"/>
      <c r="C120" s="879" t="s">
        <v>4967</v>
      </c>
      <c r="D120" s="879"/>
      <c r="G120" s="928">
        <v>7816</v>
      </c>
    </row>
    <row r="121" spans="2:7">
      <c r="B121" s="879"/>
      <c r="C121" s="879" t="s">
        <v>4968</v>
      </c>
      <c r="D121" s="879"/>
      <c r="G121" s="928">
        <v>7817</v>
      </c>
    </row>
    <row r="122" spans="2:7">
      <c r="B122" s="879"/>
      <c r="C122" s="879" t="s">
        <v>4969</v>
      </c>
      <c r="D122" s="879"/>
      <c r="G122" s="928">
        <v>7818</v>
      </c>
    </row>
    <row r="123" spans="2:7">
      <c r="B123" s="879"/>
      <c r="C123" s="879" t="s">
        <v>4970</v>
      </c>
      <c r="D123" s="879"/>
      <c r="G123" s="928">
        <v>7821</v>
      </c>
    </row>
    <row r="124" spans="2:7">
      <c r="B124" s="879"/>
      <c r="C124" s="879" t="s">
        <v>4971</v>
      </c>
      <c r="D124" s="879"/>
      <c r="G124" s="928">
        <v>7822</v>
      </c>
    </row>
    <row r="125" spans="2:7">
      <c r="B125" s="879"/>
      <c r="C125" s="879" t="s">
        <v>4972</v>
      </c>
      <c r="D125" s="879"/>
      <c r="G125" s="928">
        <v>7823</v>
      </c>
    </row>
    <row r="126" spans="2:7">
      <c r="B126" s="879"/>
      <c r="C126" s="879" t="s">
        <v>4973</v>
      </c>
      <c r="D126" s="879"/>
      <c r="G126" s="928">
        <v>8011</v>
      </c>
    </row>
    <row r="127" spans="2:7">
      <c r="B127" s="879"/>
      <c r="C127" s="879" t="s">
        <v>4974</v>
      </c>
      <c r="D127" s="879"/>
      <c r="G127" s="928">
        <v>8111</v>
      </c>
    </row>
    <row r="128" spans="2:7">
      <c r="B128" s="879"/>
      <c r="C128" s="879" t="s">
        <v>4975</v>
      </c>
      <c r="D128" s="879"/>
      <c r="G128" s="928">
        <v>8291</v>
      </c>
    </row>
    <row r="129" spans="2:7">
      <c r="B129" s="879"/>
      <c r="C129" s="879" t="s">
        <v>4976</v>
      </c>
      <c r="D129" s="879"/>
      <c r="G129" s="928">
        <v>8321</v>
      </c>
    </row>
    <row r="130" spans="2:7">
      <c r="B130" s="879"/>
      <c r="C130" s="879" t="s">
        <v>4977</v>
      </c>
      <c r="D130" s="879"/>
      <c r="G130" s="928">
        <v>8331</v>
      </c>
    </row>
    <row r="131" spans="2:7">
      <c r="B131" s="879"/>
      <c r="C131" s="879" t="s">
        <v>4978</v>
      </c>
      <c r="D131" s="879"/>
      <c r="G131" s="928">
        <v>8401</v>
      </c>
    </row>
    <row r="132" spans="2:7">
      <c r="B132" s="879"/>
      <c r="C132" s="879" t="s">
        <v>4979</v>
      </c>
      <c r="D132" s="879"/>
      <c r="G132" s="928">
        <v>8441</v>
      </c>
    </row>
    <row r="133" spans="2:7">
      <c r="B133" s="879"/>
      <c r="C133" s="879" t="s">
        <v>4980</v>
      </c>
      <c r="D133" s="879"/>
      <c r="G133" s="928">
        <v>8451</v>
      </c>
    </row>
    <row r="134" spans="2:7">
      <c r="B134" s="879"/>
      <c r="C134" s="879" t="s">
        <v>4992</v>
      </c>
      <c r="D134" s="879"/>
      <c r="G134" s="928">
        <v>8561</v>
      </c>
    </row>
    <row r="135" spans="2:7">
      <c r="B135" s="879"/>
      <c r="C135" s="879" t="s">
        <v>4981</v>
      </c>
      <c r="D135" s="879"/>
      <c r="G135" s="928">
        <v>8711</v>
      </c>
    </row>
    <row r="136" spans="2:7">
      <c r="B136" s="879"/>
      <c r="C136" s="879" t="s">
        <v>4982</v>
      </c>
      <c r="D136" s="879"/>
      <c r="G136" s="928">
        <v>8712</v>
      </c>
    </row>
    <row r="137" spans="2:7">
      <c r="B137" s="879"/>
      <c r="C137" s="879" t="s">
        <v>4983</v>
      </c>
      <c r="D137" s="879"/>
      <c r="G137" s="928">
        <v>8713</v>
      </c>
    </row>
    <row r="138" spans="2:7">
      <c r="B138" s="879"/>
      <c r="C138" s="879" t="s">
        <v>4984</v>
      </c>
      <c r="D138" s="879"/>
      <c r="G138" s="928">
        <v>8714</v>
      </c>
    </row>
    <row r="139" spans="2:7">
      <c r="B139" s="879"/>
      <c r="C139" s="879" t="s">
        <v>4985</v>
      </c>
      <c r="D139" s="879"/>
      <c r="G139" s="928">
        <v>9171</v>
      </c>
    </row>
    <row r="140" spans="2:7">
      <c r="B140" s="879"/>
      <c r="C140" s="879" t="s">
        <v>4986</v>
      </c>
      <c r="D140" s="879"/>
      <c r="G140" s="928">
        <v>9401</v>
      </c>
    </row>
    <row r="141" spans="2:7">
      <c r="B141" s="879"/>
      <c r="C141" s="879" t="s">
        <v>4987</v>
      </c>
      <c r="D141" s="879"/>
      <c r="G141" s="928">
        <v>9402</v>
      </c>
    </row>
    <row r="142" spans="2:7">
      <c r="B142" s="879"/>
      <c r="C142" s="879" t="s">
        <v>4988</v>
      </c>
      <c r="D142" s="879"/>
      <c r="G142" s="928">
        <v>9491</v>
      </c>
    </row>
    <row r="143" spans="2:7">
      <c r="B143" s="879"/>
      <c r="C143" s="879" t="s">
        <v>4989</v>
      </c>
      <c r="D143" s="879"/>
      <c r="G143" s="928">
        <v>9501</v>
      </c>
    </row>
    <row r="144" spans="2:7">
      <c r="B144" s="879"/>
      <c r="C144" s="879" t="s">
        <v>4990</v>
      </c>
      <c r="D144" s="879"/>
      <c r="G144" s="928">
        <v>9503</v>
      </c>
    </row>
  </sheetData>
  <sheetProtection password="842B" sheet="1" objects="1" scenario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926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3926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3926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3926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3926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3927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3927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3927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3927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3927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3927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3927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3927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3927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3927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3928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3928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3928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3928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3928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3928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3928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3928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3928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3928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3929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3929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3929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3929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3929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3929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3929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3929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3929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3929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3930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3930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3930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3930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3930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3930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3930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3930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3930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3930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3931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3931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3931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3931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3931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3931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3931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3931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3931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3931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3932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3932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3932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3932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3932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3932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3932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3932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3932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3932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3933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3933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3933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3933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3933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3933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3933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3933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3933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3933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3934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3934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3934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3934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3934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3934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3934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3934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3934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3934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3935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3935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3935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3935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3935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3935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3935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3935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3935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3935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3936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3936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3936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3936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3936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3936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3936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3936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3936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3936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3937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3937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3937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3937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3937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3937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3937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3937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3937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3937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3938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3938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3938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3938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3938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3938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3938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3938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3938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3938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3939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3939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3939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3939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3939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3939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3939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3939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3939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3939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3940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3940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3940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00FF"/>
  </sheetPr>
  <dimension ref="A1:L37"/>
  <sheetViews>
    <sheetView showGridLines="0" zoomScale="85" zoomScaleNormal="85" workbookViewId="0"/>
  </sheetViews>
  <sheetFormatPr defaultColWidth="5.6328125" defaultRowHeight="16"/>
  <cols>
    <col min="1" max="1" width="3.08984375" style="286" customWidth="1"/>
    <col min="2" max="2" width="4.08984375" style="286" customWidth="1"/>
    <col min="3" max="3" width="15.6328125" style="286" customWidth="1"/>
    <col min="4" max="4" width="30.453125" style="286" customWidth="1"/>
    <col min="5" max="5" width="8.7265625" style="286" customWidth="1"/>
    <col min="6" max="6" width="30.6328125" style="286" customWidth="1"/>
    <col min="7" max="7" width="100.6328125" style="286" customWidth="1"/>
    <col min="8" max="8" width="3.08984375" style="790" customWidth="1"/>
    <col min="9" max="11" width="6.6328125" style="1004" hidden="1" customWidth="1"/>
    <col min="12" max="12" width="6.6328125" style="790" hidden="1" customWidth="1"/>
    <col min="13" max="14" width="5.6328125" style="790" customWidth="1"/>
    <col min="15" max="16384" width="5.6328125" style="790"/>
  </cols>
  <sheetData>
    <row r="1" spans="2:12">
      <c r="I1" s="1004" t="s">
        <v>1073</v>
      </c>
      <c r="J1" s="1004" t="s">
        <v>1073</v>
      </c>
      <c r="K1" s="1004" t="s">
        <v>1073</v>
      </c>
      <c r="L1" s="1004" t="s">
        <v>1073</v>
      </c>
    </row>
    <row r="2" spans="2:12" ht="26.5">
      <c r="B2" s="874" t="s">
        <v>5109</v>
      </c>
    </row>
    <row r="4" spans="2:12" ht="16.5" thickBot="1">
      <c r="B4" s="126" t="s">
        <v>5110</v>
      </c>
      <c r="C4" s="126"/>
      <c r="J4" s="1005">
        <f>J6+J8+J10+J12+J14+J16+J18+J20+J22+J24+J26+J28+J30+J32+J34</f>
        <v>0</v>
      </c>
      <c r="K4" s="1005" t="s">
        <v>5637</v>
      </c>
    </row>
    <row r="5" spans="2:12" ht="17.25" customHeight="1">
      <c r="B5" s="1002"/>
      <c r="C5" s="2978" t="s">
        <v>5117</v>
      </c>
      <c r="D5" s="2979"/>
      <c r="E5" s="1066" t="s">
        <v>5118</v>
      </c>
      <c r="F5" s="1066" t="s">
        <v>5119</v>
      </c>
      <c r="G5" s="1003" t="s">
        <v>5120</v>
      </c>
    </row>
    <row r="6" spans="2:12" ht="30" hidden="1" customHeight="1">
      <c r="B6" s="2970"/>
      <c r="C6" s="2980"/>
      <c r="D6" s="999" t="s">
        <v>5111</v>
      </c>
      <c r="E6" s="2971"/>
      <c r="F6" s="2976" t="s">
        <v>5123</v>
      </c>
      <c r="G6" s="2974" t="s">
        <v>5121</v>
      </c>
      <c r="I6" s="1004" t="b">
        <v>0</v>
      </c>
      <c r="J6" s="1004">
        <f>I6*1</f>
        <v>0</v>
      </c>
      <c r="K6" s="1004">
        <f>IF(J6=0,0,J6*10)</f>
        <v>0</v>
      </c>
      <c r="L6" s="789"/>
    </row>
    <row r="7" spans="2:12" ht="30" hidden="1" customHeight="1">
      <c r="B7" s="2970"/>
      <c r="C7" s="2980"/>
      <c r="D7" s="1000" t="s">
        <v>5112</v>
      </c>
      <c r="E7" s="2971"/>
      <c r="F7" s="2971"/>
      <c r="G7" s="2974"/>
      <c r="L7" s="789"/>
    </row>
    <row r="8" spans="2:12" ht="30" hidden="1" customHeight="1">
      <c r="B8" s="2970"/>
      <c r="C8" s="2980"/>
      <c r="D8" s="999" t="s">
        <v>5113</v>
      </c>
      <c r="E8" s="2971"/>
      <c r="F8" s="2971" t="s">
        <v>5124</v>
      </c>
      <c r="G8" s="2974" t="s">
        <v>5122</v>
      </c>
      <c r="I8" s="1004" t="b">
        <v>0</v>
      </c>
      <c r="J8" s="1004">
        <f>I8*1</f>
        <v>0</v>
      </c>
      <c r="K8" s="1004">
        <f>IF(J8=0,0,SUM($J$6:J8)*10)</f>
        <v>0</v>
      </c>
      <c r="L8" s="789"/>
    </row>
    <row r="9" spans="2:12" ht="30" hidden="1" customHeight="1">
      <c r="B9" s="2970"/>
      <c r="C9" s="2980"/>
      <c r="D9" s="1000" t="s">
        <v>5114</v>
      </c>
      <c r="E9" s="2971"/>
      <c r="F9" s="2971"/>
      <c r="G9" s="2974"/>
      <c r="L9" s="789"/>
    </row>
    <row r="10" spans="2:12" ht="30" hidden="1" customHeight="1">
      <c r="B10" s="2970"/>
      <c r="C10" s="2980"/>
      <c r="D10" s="999" t="s">
        <v>5553</v>
      </c>
      <c r="E10" s="2971"/>
      <c r="F10" s="2971" t="s">
        <v>5653</v>
      </c>
      <c r="G10" s="2974" t="s">
        <v>5555</v>
      </c>
      <c r="I10" s="1004" t="b">
        <v>0</v>
      </c>
      <c r="J10" s="1004">
        <f>I10*1</f>
        <v>0</v>
      </c>
      <c r="K10" s="1004">
        <f>IF(J10=0,0,SUM($J$6:J10)*10)</f>
        <v>0</v>
      </c>
      <c r="L10" s="789"/>
    </row>
    <row r="11" spans="2:12" ht="30" hidden="1" customHeight="1">
      <c r="B11" s="2970"/>
      <c r="C11" s="2980"/>
      <c r="D11" s="1000" t="s">
        <v>5115</v>
      </c>
      <c r="E11" s="2971"/>
      <c r="F11" s="2971"/>
      <c r="G11" s="2974"/>
      <c r="L11" s="789"/>
    </row>
    <row r="12" spans="2:12" ht="30" hidden="1" customHeight="1">
      <c r="B12" s="2970"/>
      <c r="C12" s="2980"/>
      <c r="D12" s="999" t="s">
        <v>5554</v>
      </c>
      <c r="E12" s="2971"/>
      <c r="F12" s="2971" t="s">
        <v>5654</v>
      </c>
      <c r="G12" s="2974" t="s">
        <v>5556</v>
      </c>
      <c r="I12" s="1004" t="b">
        <v>0</v>
      </c>
      <c r="J12" s="1004">
        <f>I12*1</f>
        <v>0</v>
      </c>
      <c r="K12" s="1004">
        <f>IF(J12=0,0,SUM($J$6:J12)*10)</f>
        <v>0</v>
      </c>
      <c r="L12" s="789"/>
    </row>
    <row r="13" spans="2:12" ht="30" hidden="1" customHeight="1">
      <c r="B13" s="2970"/>
      <c r="C13" s="2981"/>
      <c r="D13" s="1063" t="s">
        <v>5116</v>
      </c>
      <c r="E13" s="2975"/>
      <c r="F13" s="2975"/>
      <c r="G13" s="2977"/>
      <c r="L13" s="789"/>
    </row>
    <row r="14" spans="2:12" ht="30" customHeight="1">
      <c r="B14" s="2970">
        <v>1</v>
      </c>
      <c r="C14" s="2971"/>
      <c r="D14" s="999" t="s">
        <v>5558</v>
      </c>
      <c r="E14" s="2971"/>
      <c r="F14" s="2971" t="s">
        <v>5655</v>
      </c>
      <c r="G14" s="2974" t="s">
        <v>5560</v>
      </c>
      <c r="I14" s="1004" t="b">
        <v>0</v>
      </c>
      <c r="J14" s="1004">
        <f>I14*1</f>
        <v>0</v>
      </c>
      <c r="K14" s="1004">
        <f>IF(J14=0,0,SUM($J$6:J14)*10)</f>
        <v>0</v>
      </c>
    </row>
    <row r="15" spans="2:12" ht="30" customHeight="1">
      <c r="B15" s="2970"/>
      <c r="C15" s="2971"/>
      <c r="D15" s="1000" t="s">
        <v>5559</v>
      </c>
      <c r="E15" s="2971"/>
      <c r="F15" s="2971"/>
      <c r="G15" s="2974"/>
    </row>
    <row r="16" spans="2:12" ht="30" hidden="1" customHeight="1">
      <c r="B16" s="2970"/>
      <c r="C16" s="2971"/>
      <c r="D16" s="999" t="s">
        <v>5561</v>
      </c>
      <c r="E16" s="2982"/>
      <c r="F16" s="2982" t="s">
        <v>5563</v>
      </c>
      <c r="G16" s="2983" t="s">
        <v>5564</v>
      </c>
      <c r="I16" s="1004" t="b">
        <v>0</v>
      </c>
      <c r="J16" s="1004">
        <f>I16*1</f>
        <v>0</v>
      </c>
      <c r="K16" s="1004">
        <f>IF(J16=0,0,SUM($J$6:J16)*10)</f>
        <v>0</v>
      </c>
    </row>
    <row r="17" spans="2:11" ht="30" hidden="1" customHeight="1">
      <c r="B17" s="2970"/>
      <c r="C17" s="2971"/>
      <c r="D17" s="1000" t="s">
        <v>5562</v>
      </c>
      <c r="E17" s="2975"/>
      <c r="F17" s="2975"/>
      <c r="G17" s="2977"/>
    </row>
    <row r="18" spans="2:11" ht="30" hidden="1" customHeight="1">
      <c r="B18" s="2970"/>
      <c r="C18" s="2971"/>
      <c r="D18" s="999" t="s">
        <v>5631</v>
      </c>
      <c r="E18" s="2971"/>
      <c r="F18" s="2976" t="s">
        <v>5656</v>
      </c>
      <c r="G18" s="2974" t="s">
        <v>5635</v>
      </c>
      <c r="I18" s="1004" t="b">
        <v>0</v>
      </c>
      <c r="J18" s="1004">
        <f>I18*1</f>
        <v>0</v>
      </c>
      <c r="K18" s="1004">
        <f>IF(J18=0,0,SUM($J$6:J18)*10)</f>
        <v>0</v>
      </c>
    </row>
    <row r="19" spans="2:11" ht="30" hidden="1" customHeight="1">
      <c r="B19" s="2970"/>
      <c r="C19" s="2971"/>
      <c r="D19" s="1000" t="s">
        <v>5632</v>
      </c>
      <c r="E19" s="2971"/>
      <c r="F19" s="2971"/>
      <c r="G19" s="2974"/>
    </row>
    <row r="20" spans="2:11" ht="30" hidden="1" customHeight="1">
      <c r="B20" s="2970"/>
      <c r="C20" s="2971"/>
      <c r="D20" s="999" t="s">
        <v>5633</v>
      </c>
      <c r="E20" s="2971"/>
      <c r="F20" s="2972" t="s">
        <v>5657</v>
      </c>
      <c r="G20" s="2974" t="s">
        <v>5636</v>
      </c>
      <c r="I20" s="1004" t="b">
        <v>0</v>
      </c>
      <c r="J20" s="1004">
        <f>I20*1</f>
        <v>0</v>
      </c>
      <c r="K20" s="1004">
        <f>IF(J20=0,0,SUM($J$6:J20)*10)</f>
        <v>0</v>
      </c>
    </row>
    <row r="21" spans="2:11" ht="30" hidden="1" customHeight="1">
      <c r="B21" s="2970"/>
      <c r="C21" s="2971"/>
      <c r="D21" s="1000" t="s">
        <v>5634</v>
      </c>
      <c r="E21" s="2971"/>
      <c r="F21" s="2973"/>
      <c r="G21" s="2974"/>
    </row>
    <row r="22" spans="2:11" ht="30" customHeight="1">
      <c r="B22" s="2970">
        <v>2</v>
      </c>
      <c r="C22" s="2971"/>
      <c r="D22" s="999" t="s">
        <v>5638</v>
      </c>
      <c r="E22" s="2971"/>
      <c r="F22" s="2972" t="s">
        <v>5640</v>
      </c>
      <c r="G22" s="2974" t="s">
        <v>5641</v>
      </c>
      <c r="I22" s="1004" t="b">
        <v>0</v>
      </c>
      <c r="J22" s="1004">
        <f>I22*1</f>
        <v>0</v>
      </c>
      <c r="K22" s="1004">
        <f>IF(J22=0,0,SUM($J$6:J22)*10)</f>
        <v>0</v>
      </c>
    </row>
    <row r="23" spans="2:11" ht="30" customHeight="1">
      <c r="B23" s="2970"/>
      <c r="C23" s="2971"/>
      <c r="D23" s="1000" t="s">
        <v>5639</v>
      </c>
      <c r="E23" s="2971"/>
      <c r="F23" s="2973"/>
      <c r="G23" s="2974"/>
    </row>
    <row r="24" spans="2:11" ht="30" hidden="1" customHeight="1">
      <c r="B24" s="2970"/>
      <c r="C24" s="2971"/>
      <c r="D24" s="999" t="s">
        <v>5649</v>
      </c>
      <c r="E24" s="2971"/>
      <c r="F24" s="2972" t="s">
        <v>5651</v>
      </c>
      <c r="G24" s="2974" t="s">
        <v>5652</v>
      </c>
      <c r="I24" s="1004" t="b">
        <v>0</v>
      </c>
      <c r="J24" s="1004">
        <f>I24*1</f>
        <v>0</v>
      </c>
      <c r="K24" s="1004">
        <f>IF(J24=0,0,SUM($J$6:J24)*10)</f>
        <v>0</v>
      </c>
    </row>
    <row r="25" spans="2:11" ht="30" hidden="1" customHeight="1">
      <c r="B25" s="2970"/>
      <c r="C25" s="2971"/>
      <c r="D25" s="1000" t="s">
        <v>5650</v>
      </c>
      <c r="E25" s="2971"/>
      <c r="F25" s="2973"/>
      <c r="G25" s="2974"/>
    </row>
    <row r="26" spans="2:11" ht="30" customHeight="1">
      <c r="B26" s="2970">
        <v>3</v>
      </c>
      <c r="C26" s="2982"/>
      <c r="D26" s="1064" t="s">
        <v>5665</v>
      </c>
      <c r="E26" s="2982"/>
      <c r="F26" s="2984" t="s">
        <v>5667</v>
      </c>
      <c r="G26" s="2983" t="s">
        <v>5668</v>
      </c>
      <c r="I26" s="1004" t="b">
        <v>0</v>
      </c>
      <c r="J26" s="1004">
        <f>I26*1</f>
        <v>0</v>
      </c>
      <c r="K26" s="1004">
        <f>IF(J26=0,0,SUM($J$6:J26)*10)</f>
        <v>0</v>
      </c>
    </row>
    <row r="27" spans="2:11" ht="30" customHeight="1">
      <c r="B27" s="2970"/>
      <c r="C27" s="2975"/>
      <c r="D27" s="1063" t="s">
        <v>5666</v>
      </c>
      <c r="E27" s="2975"/>
      <c r="F27" s="2985"/>
      <c r="G27" s="2977"/>
    </row>
    <row r="28" spans="2:11" ht="30" customHeight="1">
      <c r="B28" s="2970">
        <v>4</v>
      </c>
      <c r="C28" s="2971"/>
      <c r="D28" s="999" t="s">
        <v>5704</v>
      </c>
      <c r="E28" s="2971"/>
      <c r="F28" s="2972" t="s">
        <v>5708</v>
      </c>
      <c r="G28" s="2974" t="s">
        <v>5710</v>
      </c>
      <c r="I28" s="1004" t="b">
        <v>0</v>
      </c>
      <c r="J28" s="1004">
        <f>I28*1</f>
        <v>0</v>
      </c>
      <c r="K28" s="1004">
        <f>IF(J28=0,0,SUM($J$6:J28)*10)</f>
        <v>0</v>
      </c>
    </row>
    <row r="29" spans="2:11" ht="30" customHeight="1">
      <c r="B29" s="2970"/>
      <c r="C29" s="2971"/>
      <c r="D29" s="1090" t="s">
        <v>5705</v>
      </c>
      <c r="E29" s="2971"/>
      <c r="F29" s="2973"/>
      <c r="G29" s="2974"/>
    </row>
    <row r="30" spans="2:11" ht="30" customHeight="1">
      <c r="B30" s="2970">
        <v>5</v>
      </c>
      <c r="C30" s="2971"/>
      <c r="D30" s="999" t="s">
        <v>5706</v>
      </c>
      <c r="E30" s="2971"/>
      <c r="F30" s="2972" t="s">
        <v>5709</v>
      </c>
      <c r="G30" s="2974" t="s">
        <v>5711</v>
      </c>
      <c r="I30" s="1004" t="b">
        <v>0</v>
      </c>
      <c r="J30" s="1004">
        <f>I30*1</f>
        <v>0</v>
      </c>
      <c r="K30" s="1004">
        <f>IF(J30=0,0,SUM($J$6:J30)*10)</f>
        <v>0</v>
      </c>
    </row>
    <row r="31" spans="2:11" ht="30" customHeight="1">
      <c r="B31" s="2970"/>
      <c r="C31" s="2971"/>
      <c r="D31" s="1000" t="s">
        <v>5707</v>
      </c>
      <c r="E31" s="2971"/>
      <c r="F31" s="2973"/>
      <c r="G31" s="2974"/>
    </row>
    <row r="32" spans="2:11" ht="30" customHeight="1">
      <c r="B32" s="2970">
        <v>6</v>
      </c>
      <c r="C32" s="2971"/>
      <c r="D32" s="1064" t="s">
        <v>5735</v>
      </c>
      <c r="E32" s="2971"/>
      <c r="F32" s="2984" t="s">
        <v>5732</v>
      </c>
      <c r="G32" s="2983" t="s">
        <v>5733</v>
      </c>
      <c r="I32" s="1004" t="b">
        <v>0</v>
      </c>
      <c r="J32" s="1004">
        <f>I32*1</f>
        <v>0</v>
      </c>
      <c r="K32" s="1004">
        <f>IF(J32=0,0,SUM($J$6:J32)*10)</f>
        <v>0</v>
      </c>
    </row>
    <row r="33" spans="2:11" ht="30" customHeight="1" thickBot="1">
      <c r="B33" s="2970"/>
      <c r="C33" s="2971"/>
      <c r="D33" s="1000" t="s">
        <v>5736</v>
      </c>
      <c r="E33" s="2971"/>
      <c r="F33" s="2973"/>
      <c r="G33" s="2974"/>
    </row>
    <row r="34" spans="2:11" ht="30" hidden="1" customHeight="1">
      <c r="B34" s="2970"/>
      <c r="C34" s="2982"/>
      <c r="D34" s="1064" t="s">
        <v>5737</v>
      </c>
      <c r="E34" s="2982"/>
      <c r="F34" s="2984" t="s">
        <v>5739</v>
      </c>
      <c r="G34" s="2983" t="s">
        <v>5734</v>
      </c>
      <c r="I34" s="1004" t="b">
        <v>0</v>
      </c>
      <c r="J34" s="1004">
        <f>I34*1</f>
        <v>0</v>
      </c>
      <c r="K34" s="1004">
        <f>IF(J34=0,0,SUM($J$6:J34)*10)</f>
        <v>0</v>
      </c>
    </row>
    <row r="35" spans="2:11" ht="30" hidden="1" customHeight="1" thickBot="1">
      <c r="B35" s="2986"/>
      <c r="C35" s="2987"/>
      <c r="D35" s="1001" t="s">
        <v>5738</v>
      </c>
      <c r="E35" s="2987"/>
      <c r="F35" s="2988"/>
      <c r="G35" s="2989"/>
    </row>
    <row r="36" spans="2:11" ht="30" customHeight="1">
      <c r="B36" s="2966"/>
      <c r="C36" s="2966"/>
      <c r="D36" s="1112"/>
      <c r="E36" s="2966"/>
      <c r="F36" s="2966"/>
      <c r="G36" s="2968"/>
    </row>
    <row r="37" spans="2:11" ht="30" customHeight="1">
      <c r="B37" s="2967"/>
      <c r="C37" s="2967"/>
      <c r="D37" s="1113"/>
      <c r="E37" s="2967"/>
      <c r="F37" s="2967"/>
      <c r="G37" s="2969"/>
    </row>
  </sheetData>
  <sheetProtection algorithmName="SHA-512" hashValue="tHtBrg7g9VucwLMCGqcOUUTa4e83RCLbYrWkLwfq15GtyxQ9mcbz/8VHjlTrSTkqukKmrZ8UHsIWVqDJ0UNa7A==" saltValue="ZeRlrF86WvkMpIQrzAattQ==" spinCount="100000" sheet="1" objects="1" scenarios="1" selectLockedCells="1"/>
  <mergeCells count="81">
    <mergeCell ref="B34:B35"/>
    <mergeCell ref="C34:C35"/>
    <mergeCell ref="E34:E35"/>
    <mergeCell ref="F34:F35"/>
    <mergeCell ref="G34:G35"/>
    <mergeCell ref="B32:B33"/>
    <mergeCell ref="C32:C33"/>
    <mergeCell ref="E32:E33"/>
    <mergeCell ref="F32:F33"/>
    <mergeCell ref="G32:G33"/>
    <mergeCell ref="B28:B29"/>
    <mergeCell ref="C28:C29"/>
    <mergeCell ref="E28:E29"/>
    <mergeCell ref="F28:F29"/>
    <mergeCell ref="G28:G29"/>
    <mergeCell ref="B26:B27"/>
    <mergeCell ref="C26:C27"/>
    <mergeCell ref="E26:E27"/>
    <mergeCell ref="F26:F27"/>
    <mergeCell ref="G26:G27"/>
    <mergeCell ref="B22:B23"/>
    <mergeCell ref="C22:C23"/>
    <mergeCell ref="E22:E23"/>
    <mergeCell ref="F22:F23"/>
    <mergeCell ref="G22:G23"/>
    <mergeCell ref="B24:B25"/>
    <mergeCell ref="C24:C25"/>
    <mergeCell ref="E24:E25"/>
    <mergeCell ref="F24:F25"/>
    <mergeCell ref="G24:G25"/>
    <mergeCell ref="B20:B21"/>
    <mergeCell ref="C20:C21"/>
    <mergeCell ref="E20:E21"/>
    <mergeCell ref="F20:F21"/>
    <mergeCell ref="G20:G21"/>
    <mergeCell ref="B18:B19"/>
    <mergeCell ref="C18:C19"/>
    <mergeCell ref="E18:E19"/>
    <mergeCell ref="F18:F19"/>
    <mergeCell ref="G18:G19"/>
    <mergeCell ref="B16:B17"/>
    <mergeCell ref="C16:C17"/>
    <mergeCell ref="E16:E17"/>
    <mergeCell ref="F16:F17"/>
    <mergeCell ref="G16:G17"/>
    <mergeCell ref="C5:D5"/>
    <mergeCell ref="C14:C15"/>
    <mergeCell ref="B14:B15"/>
    <mergeCell ref="C12:C13"/>
    <mergeCell ref="B12:B13"/>
    <mergeCell ref="C10:C11"/>
    <mergeCell ref="B10:B11"/>
    <mergeCell ref="C8:C9"/>
    <mergeCell ref="B8:B9"/>
    <mergeCell ref="C6:C7"/>
    <mergeCell ref="B6:B7"/>
    <mergeCell ref="E14:E15"/>
    <mergeCell ref="E12:E13"/>
    <mergeCell ref="E10:E11"/>
    <mergeCell ref="E8:E9"/>
    <mergeCell ref="E6:E7"/>
    <mergeCell ref="F6:F7"/>
    <mergeCell ref="G12:G13"/>
    <mergeCell ref="G10:G11"/>
    <mergeCell ref="G8:G9"/>
    <mergeCell ref="G6:G7"/>
    <mergeCell ref="F14:F15"/>
    <mergeCell ref="G14:G15"/>
    <mergeCell ref="F12:F13"/>
    <mergeCell ref="F10:F11"/>
    <mergeCell ref="F8:F9"/>
    <mergeCell ref="B30:B31"/>
    <mergeCell ref="C30:C31"/>
    <mergeCell ref="E30:E31"/>
    <mergeCell ref="F30:F31"/>
    <mergeCell ref="G30:G31"/>
    <mergeCell ref="B36:B37"/>
    <mergeCell ref="C36:C37"/>
    <mergeCell ref="E36:E37"/>
    <mergeCell ref="F36:F37"/>
    <mergeCell ref="G36:G37"/>
  </mergeCells>
  <phoneticPr fontId="3"/>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5655" r:id="rId4" name="Check Box 7">
              <controlPr defaultSize="0" autoFill="0" autoLine="0" autoPict="0">
                <anchor moveWithCells="1">
                  <from>
                    <xdr:col>4</xdr:col>
                    <xdr:colOff>203200</xdr:colOff>
                    <xdr:row>13</xdr:row>
                    <xdr:rowOff>285750</xdr:rowOff>
                  </from>
                  <to>
                    <xdr:col>4</xdr:col>
                    <xdr:colOff>660400</xdr:colOff>
                    <xdr:row>14</xdr:row>
                    <xdr:rowOff>114300</xdr:rowOff>
                  </to>
                </anchor>
              </controlPr>
            </control>
          </mc:Choice>
        </mc:AlternateContent>
        <mc:AlternateContent xmlns:mc="http://schemas.openxmlformats.org/markup-compatibility/2006">
          <mc:Choice Requires="x14">
            <control shapeId="155664" r:id="rId5" name="Check Box 16">
              <controlPr defaultSize="0" autoFill="0" autoLine="0" autoPict="0">
                <anchor moveWithCells="1">
                  <from>
                    <xdr:col>4</xdr:col>
                    <xdr:colOff>203200</xdr:colOff>
                    <xdr:row>21</xdr:row>
                    <xdr:rowOff>285750</xdr:rowOff>
                  </from>
                  <to>
                    <xdr:col>4</xdr:col>
                    <xdr:colOff>660400</xdr:colOff>
                    <xdr:row>22</xdr:row>
                    <xdr:rowOff>114300</xdr:rowOff>
                  </to>
                </anchor>
              </controlPr>
            </control>
          </mc:Choice>
        </mc:AlternateContent>
        <mc:AlternateContent xmlns:mc="http://schemas.openxmlformats.org/markup-compatibility/2006">
          <mc:Choice Requires="x14">
            <control shapeId="155668" r:id="rId6" name="Check Box 20">
              <controlPr defaultSize="0" autoFill="0" autoLine="0" autoPict="0">
                <anchor moveWithCells="1">
                  <from>
                    <xdr:col>4</xdr:col>
                    <xdr:colOff>203200</xdr:colOff>
                    <xdr:row>25</xdr:row>
                    <xdr:rowOff>285750</xdr:rowOff>
                  </from>
                  <to>
                    <xdr:col>4</xdr:col>
                    <xdr:colOff>660400</xdr:colOff>
                    <xdr:row>26</xdr:row>
                    <xdr:rowOff>114300</xdr:rowOff>
                  </to>
                </anchor>
              </controlPr>
            </control>
          </mc:Choice>
        </mc:AlternateContent>
        <mc:AlternateContent xmlns:mc="http://schemas.openxmlformats.org/markup-compatibility/2006">
          <mc:Choice Requires="x14">
            <control shapeId="155669" r:id="rId7" name="Check Box 21">
              <controlPr defaultSize="0" autoFill="0" autoLine="0" autoPict="0">
                <anchor moveWithCells="1">
                  <from>
                    <xdr:col>4</xdr:col>
                    <xdr:colOff>203200</xdr:colOff>
                    <xdr:row>27</xdr:row>
                    <xdr:rowOff>285750</xdr:rowOff>
                  </from>
                  <to>
                    <xdr:col>4</xdr:col>
                    <xdr:colOff>660400</xdr:colOff>
                    <xdr:row>28</xdr:row>
                    <xdr:rowOff>114300</xdr:rowOff>
                  </to>
                </anchor>
              </controlPr>
            </control>
          </mc:Choice>
        </mc:AlternateContent>
        <mc:AlternateContent xmlns:mc="http://schemas.openxmlformats.org/markup-compatibility/2006">
          <mc:Choice Requires="x14">
            <control shapeId="155670" r:id="rId8" name="Check Box 22">
              <controlPr defaultSize="0" autoFill="0" autoLine="0" autoPict="0">
                <anchor moveWithCells="1">
                  <from>
                    <xdr:col>4</xdr:col>
                    <xdr:colOff>203200</xdr:colOff>
                    <xdr:row>29</xdr:row>
                    <xdr:rowOff>285750</xdr:rowOff>
                  </from>
                  <to>
                    <xdr:col>4</xdr:col>
                    <xdr:colOff>660400</xdr:colOff>
                    <xdr:row>30</xdr:row>
                    <xdr:rowOff>114300</xdr:rowOff>
                  </to>
                </anchor>
              </controlPr>
            </control>
          </mc:Choice>
        </mc:AlternateContent>
        <mc:AlternateContent xmlns:mc="http://schemas.openxmlformats.org/markup-compatibility/2006">
          <mc:Choice Requires="x14">
            <control shapeId="155673" r:id="rId9" name="Check Box 25">
              <controlPr defaultSize="0" autoFill="0" autoLine="0" autoPict="0">
                <anchor moveWithCells="1">
                  <from>
                    <xdr:col>4</xdr:col>
                    <xdr:colOff>203200</xdr:colOff>
                    <xdr:row>31</xdr:row>
                    <xdr:rowOff>285750</xdr:rowOff>
                  </from>
                  <to>
                    <xdr:col>4</xdr:col>
                    <xdr:colOff>660400</xdr:colOff>
                    <xdr:row>32</xdr:row>
                    <xdr:rowOff>114300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EE641-A427-42D8-AAB9-F291D4E21297}">
  <dimension ref="B2:Z64"/>
  <sheetViews>
    <sheetView showGridLines="0" zoomScale="85" zoomScaleNormal="85" workbookViewId="0"/>
  </sheetViews>
  <sheetFormatPr defaultColWidth="3.6328125" defaultRowHeight="15"/>
  <cols>
    <col min="1" max="16384" width="3.6328125" style="306"/>
  </cols>
  <sheetData>
    <row r="2" spans="2:26" ht="26.5">
      <c r="B2" s="874" t="s">
        <v>5771</v>
      </c>
    </row>
    <row r="4" spans="2:26" ht="16">
      <c r="B4" s="286" t="s">
        <v>5772</v>
      </c>
    </row>
    <row r="6" spans="2:26">
      <c r="B6" s="306" t="s">
        <v>5773</v>
      </c>
    </row>
    <row r="7" spans="2:26">
      <c r="B7" s="306" t="s">
        <v>5774</v>
      </c>
    </row>
    <row r="8" spans="2:26">
      <c r="B8" s="306" t="s">
        <v>5775</v>
      </c>
    </row>
    <row r="9" spans="2:26">
      <c r="B9" s="306" t="s">
        <v>5776</v>
      </c>
    </row>
    <row r="10" spans="2:26">
      <c r="C10" s="2990" t="s">
        <v>5834</v>
      </c>
      <c r="D10" s="2990"/>
      <c r="E10" s="2990"/>
      <c r="F10" s="2990"/>
      <c r="G10" s="2990"/>
      <c r="H10" s="2990"/>
      <c r="I10" s="2990"/>
      <c r="J10" s="2990"/>
      <c r="K10" s="2990"/>
      <c r="L10" s="2990"/>
      <c r="M10" s="2990"/>
      <c r="N10" s="2990"/>
      <c r="O10" s="2990"/>
      <c r="P10" s="2990"/>
      <c r="Q10" s="2990"/>
      <c r="R10" s="2990"/>
      <c r="S10" s="2990"/>
      <c r="T10" s="2990"/>
      <c r="U10" s="2990"/>
      <c r="V10" s="2990"/>
      <c r="W10" s="2990"/>
      <c r="X10" s="2990"/>
      <c r="Y10" s="2990"/>
      <c r="Z10" s="2990"/>
    </row>
    <row r="11" spans="2:26">
      <c r="B11" s="306" t="s">
        <v>5777</v>
      </c>
    </row>
    <row r="13" spans="2:26">
      <c r="B13" s="306" t="s">
        <v>5778</v>
      </c>
    </row>
    <row r="14" spans="2:26">
      <c r="C14" s="2990" t="s">
        <v>5779</v>
      </c>
      <c r="D14" s="2990"/>
      <c r="E14" s="2990"/>
      <c r="F14" s="2990"/>
      <c r="G14" s="2990"/>
      <c r="H14" s="2990"/>
      <c r="I14" s="2990"/>
      <c r="J14" s="2990"/>
      <c r="K14" s="2990"/>
      <c r="L14" s="2990"/>
      <c r="M14" s="2990"/>
      <c r="N14" s="2990"/>
      <c r="O14" s="2990"/>
      <c r="P14" s="2990"/>
      <c r="Q14" s="2990"/>
      <c r="R14" s="2990"/>
      <c r="S14" s="2990"/>
      <c r="T14" s="2990"/>
      <c r="U14" s="2990"/>
      <c r="V14" s="2990"/>
      <c r="W14" s="2990"/>
      <c r="X14" s="2990"/>
      <c r="Y14" s="2990"/>
      <c r="Z14" s="2990"/>
    </row>
    <row r="15" spans="2:26">
      <c r="B15" s="306" t="s">
        <v>5780</v>
      </c>
    </row>
    <row r="16" spans="2:26">
      <c r="B16" s="306" t="s">
        <v>5781</v>
      </c>
    </row>
    <row r="18" spans="2:26">
      <c r="B18" s="306" t="s">
        <v>5782</v>
      </c>
    </row>
    <row r="19" spans="2:26">
      <c r="C19" s="2990" t="s">
        <v>5779</v>
      </c>
      <c r="D19" s="2990"/>
      <c r="E19" s="2990"/>
      <c r="F19" s="2990"/>
      <c r="G19" s="2990"/>
      <c r="H19" s="2990"/>
      <c r="I19" s="2990"/>
      <c r="J19" s="2990"/>
      <c r="K19" s="2990"/>
      <c r="L19" s="2990"/>
      <c r="M19" s="2990"/>
      <c r="N19" s="2990"/>
      <c r="O19" s="2990"/>
      <c r="P19" s="2990"/>
      <c r="Q19" s="2990"/>
      <c r="R19" s="2990"/>
      <c r="S19" s="2990"/>
      <c r="T19" s="2990"/>
      <c r="U19" s="2990"/>
      <c r="V19" s="2990"/>
      <c r="W19" s="2990"/>
      <c r="X19" s="2990"/>
      <c r="Y19" s="2990"/>
      <c r="Z19" s="2990"/>
    </row>
    <row r="20" spans="2:26">
      <c r="B20" s="306" t="s">
        <v>5783</v>
      </c>
    </row>
    <row r="21" spans="2:26">
      <c r="B21" s="306" t="s">
        <v>5784</v>
      </c>
    </row>
    <row r="23" spans="2:26">
      <c r="B23" s="306" t="s">
        <v>5785</v>
      </c>
    </row>
    <row r="24" spans="2:26">
      <c r="C24" s="2990" t="s">
        <v>5779</v>
      </c>
      <c r="D24" s="2990"/>
      <c r="E24" s="2990"/>
      <c r="F24" s="2990"/>
      <c r="G24" s="2990"/>
      <c r="H24" s="2990"/>
      <c r="I24" s="2990"/>
      <c r="J24" s="2990"/>
      <c r="K24" s="2990"/>
      <c r="L24" s="2990"/>
      <c r="M24" s="2990"/>
      <c r="N24" s="2990"/>
      <c r="O24" s="2990"/>
      <c r="P24" s="2990"/>
      <c r="Q24" s="2990"/>
      <c r="R24" s="2990"/>
      <c r="S24" s="2990"/>
      <c r="T24" s="2990"/>
      <c r="U24" s="2990"/>
      <c r="V24" s="2990"/>
      <c r="W24" s="2990"/>
      <c r="X24" s="2990"/>
      <c r="Y24" s="2990"/>
      <c r="Z24" s="2990"/>
    </row>
    <row r="25" spans="2:26">
      <c r="B25" s="306" t="s">
        <v>5786</v>
      </c>
    </row>
    <row r="26" spans="2:26">
      <c r="B26" s="306" t="s">
        <v>5787</v>
      </c>
    </row>
    <row r="28" spans="2:26">
      <c r="B28" s="306" t="s">
        <v>5788</v>
      </c>
    </row>
    <row r="29" spans="2:26">
      <c r="C29" s="2990" t="s">
        <v>5779</v>
      </c>
      <c r="D29" s="2990"/>
      <c r="E29" s="2990"/>
      <c r="F29" s="2990"/>
      <c r="G29" s="2990"/>
      <c r="H29" s="2990"/>
      <c r="I29" s="2990"/>
      <c r="J29" s="2990"/>
      <c r="K29" s="2990"/>
      <c r="L29" s="2990"/>
      <c r="M29" s="2990"/>
      <c r="N29" s="2990"/>
      <c r="O29" s="2990"/>
      <c r="P29" s="2990"/>
      <c r="Q29" s="2990"/>
      <c r="R29" s="2990"/>
      <c r="S29" s="2990"/>
      <c r="T29" s="2990"/>
      <c r="U29" s="2990"/>
      <c r="V29" s="2990"/>
      <c r="W29" s="2990"/>
      <c r="X29" s="2990"/>
      <c r="Y29" s="2990"/>
      <c r="Z29" s="2990"/>
    </row>
    <row r="30" spans="2:26">
      <c r="B30" s="306" t="s">
        <v>5789</v>
      </c>
    </row>
    <row r="33" spans="2:26" ht="16">
      <c r="B33" s="286" t="s">
        <v>5790</v>
      </c>
    </row>
    <row r="35" spans="2:26">
      <c r="B35" s="306" t="s">
        <v>5791</v>
      </c>
    </row>
    <row r="36" spans="2:26">
      <c r="B36" s="306" t="s">
        <v>5792</v>
      </c>
    </row>
    <row r="37" spans="2:26">
      <c r="B37" s="306" t="s">
        <v>5775</v>
      </c>
    </row>
    <row r="38" spans="2:26">
      <c r="B38" s="306" t="s">
        <v>5793</v>
      </c>
    </row>
    <row r="39" spans="2:26">
      <c r="C39" s="2990" t="s">
        <v>5794</v>
      </c>
      <c r="D39" s="2990"/>
      <c r="E39" s="2990"/>
      <c r="F39" s="2990"/>
      <c r="G39" s="2990"/>
      <c r="H39" s="2990"/>
      <c r="I39" s="2990"/>
      <c r="J39" s="2990"/>
      <c r="K39" s="2990"/>
      <c r="L39" s="2990"/>
      <c r="M39" s="2990"/>
      <c r="N39" s="2990"/>
      <c r="O39" s="2990"/>
      <c r="P39" s="2990"/>
      <c r="Q39" s="2990"/>
      <c r="R39" s="2990"/>
      <c r="S39" s="2990"/>
      <c r="T39" s="2990"/>
      <c r="U39" s="2990"/>
      <c r="V39" s="2990"/>
      <c r="W39" s="2990"/>
      <c r="X39" s="2990"/>
      <c r="Y39" s="2990"/>
      <c r="Z39" s="2990"/>
    </row>
    <row r="40" spans="2:26">
      <c r="B40" s="306" t="s">
        <v>5795</v>
      </c>
    </row>
    <row r="41" spans="2:26">
      <c r="C41" s="2990" t="s">
        <v>5835</v>
      </c>
      <c r="D41" s="2990"/>
      <c r="E41" s="2990"/>
      <c r="F41" s="2990"/>
      <c r="G41" s="2990"/>
      <c r="H41" s="2990"/>
      <c r="I41" s="2990"/>
      <c r="J41" s="2990"/>
      <c r="K41" s="2990"/>
      <c r="L41" s="2990"/>
      <c r="M41" s="2990"/>
      <c r="N41" s="2990"/>
      <c r="O41" s="2990"/>
      <c r="P41" s="2990"/>
      <c r="Q41" s="2990"/>
      <c r="R41" s="2990"/>
      <c r="S41" s="2990"/>
      <c r="T41" s="2990"/>
      <c r="U41" s="2990"/>
      <c r="V41" s="2990"/>
      <c r="W41" s="2990"/>
      <c r="X41" s="2990"/>
      <c r="Y41" s="2990"/>
      <c r="Z41" s="2990"/>
    </row>
    <row r="42" spans="2:26">
      <c r="B42" s="306" t="s">
        <v>5777</v>
      </c>
    </row>
    <row r="44" spans="2:26">
      <c r="B44" s="306" t="s">
        <v>5778</v>
      </c>
    </row>
    <row r="45" spans="2:26">
      <c r="C45" s="2990" t="s">
        <v>5796</v>
      </c>
      <c r="D45" s="2990"/>
      <c r="E45" s="2990"/>
      <c r="F45" s="2990"/>
      <c r="G45" s="2990"/>
      <c r="H45" s="2990"/>
      <c r="I45" s="2990"/>
      <c r="J45" s="2990"/>
      <c r="K45" s="2990"/>
      <c r="L45" s="2990"/>
      <c r="M45" s="2990"/>
      <c r="N45" s="2990"/>
      <c r="O45" s="2990"/>
      <c r="P45" s="2990"/>
      <c r="Q45" s="2990"/>
      <c r="R45" s="2990"/>
      <c r="S45" s="2990"/>
      <c r="T45" s="2990"/>
      <c r="U45" s="2990"/>
      <c r="V45" s="2990"/>
      <c r="W45" s="2990"/>
      <c r="X45" s="2990"/>
      <c r="Y45" s="2990"/>
      <c r="Z45" s="2990"/>
    </row>
    <row r="46" spans="2:26">
      <c r="B46" s="306" t="s">
        <v>5797</v>
      </c>
    </row>
    <row r="47" spans="2:26">
      <c r="B47" s="306" t="s">
        <v>5798</v>
      </c>
    </row>
    <row r="48" spans="2:26">
      <c r="B48" s="306" t="s">
        <v>5799</v>
      </c>
    </row>
    <row r="50" spans="2:26">
      <c r="B50" s="306" t="s">
        <v>5782</v>
      </c>
    </row>
    <row r="51" spans="2:26">
      <c r="C51" s="2991" t="s">
        <v>5796</v>
      </c>
      <c r="D51" s="2991"/>
      <c r="E51" s="2991"/>
      <c r="F51" s="2991"/>
      <c r="G51" s="2991"/>
      <c r="H51" s="2991"/>
      <c r="I51" s="2991"/>
      <c r="J51" s="2991"/>
      <c r="K51" s="2991"/>
      <c r="L51" s="2991"/>
      <c r="M51" s="2991"/>
      <c r="N51" s="2991"/>
      <c r="O51" s="2991"/>
      <c r="P51" s="2991"/>
      <c r="Q51" s="2991"/>
      <c r="R51" s="2991"/>
      <c r="S51" s="2991"/>
      <c r="T51" s="2991"/>
      <c r="U51" s="2991"/>
      <c r="V51" s="2991"/>
      <c r="W51" s="2991"/>
      <c r="X51" s="2991"/>
      <c r="Y51" s="2991"/>
      <c r="Z51" s="2991"/>
    </row>
    <row r="52" spans="2:26">
      <c r="B52" s="306" t="s">
        <v>5800</v>
      </c>
    </row>
    <row r="53" spans="2:26">
      <c r="B53" s="306" t="s">
        <v>5801</v>
      </c>
    </row>
    <row r="54" spans="2:26">
      <c r="B54" s="306" t="s">
        <v>5802</v>
      </c>
    </row>
    <row r="55" spans="2:26">
      <c r="B55" s="306" t="s">
        <v>5803</v>
      </c>
    </row>
    <row r="56" spans="2:26">
      <c r="B56" s="306" t="s">
        <v>5804</v>
      </c>
    </row>
    <row r="58" spans="2:26">
      <c r="B58" s="306" t="s">
        <v>5785</v>
      </c>
    </row>
    <row r="59" spans="2:26">
      <c r="C59" s="2990" t="s">
        <v>5796</v>
      </c>
      <c r="D59" s="2990"/>
      <c r="E59" s="2990"/>
      <c r="F59" s="2990"/>
      <c r="G59" s="2990"/>
      <c r="H59" s="2990"/>
      <c r="I59" s="2990"/>
      <c r="J59" s="2990"/>
      <c r="K59" s="2990"/>
      <c r="L59" s="2990"/>
      <c r="M59" s="2990"/>
      <c r="N59" s="2990"/>
      <c r="O59" s="2990"/>
      <c r="P59" s="2990"/>
      <c r="Q59" s="2990"/>
      <c r="R59" s="2990"/>
      <c r="S59" s="2990"/>
      <c r="T59" s="2990"/>
      <c r="U59" s="2990"/>
      <c r="V59" s="2990"/>
      <c r="W59" s="2990"/>
      <c r="X59" s="2990"/>
      <c r="Y59" s="2990"/>
      <c r="Z59" s="2990"/>
    </row>
    <row r="60" spans="2:26">
      <c r="B60" s="306" t="s">
        <v>5805</v>
      </c>
    </row>
    <row r="61" spans="2:26">
      <c r="B61" s="306" t="s">
        <v>5806</v>
      </c>
    </row>
    <row r="62" spans="2:26">
      <c r="B62" s="306" t="s">
        <v>5807</v>
      </c>
    </row>
    <row r="64" spans="2:26">
      <c r="B64" s="306" t="s">
        <v>5808</v>
      </c>
    </row>
  </sheetData>
  <sheetProtection algorithmName="SHA-512" hashValue="Q/X7d3ru07i90NC1K8m3xarRQJnT+RgUmzFoYy8IE6n4uQ3DmJL8rHh9+IUq3G9I8adR0e/E+PcNKGcjrTQw0A==" saltValue="ClvCs+OWx/djqDu5ynDy6w==" spinCount="100000" sheet="1" objects="1" scenarios="1"/>
  <mergeCells count="10">
    <mergeCell ref="C41:Z41"/>
    <mergeCell ref="C45:Z45"/>
    <mergeCell ref="C51:Z51"/>
    <mergeCell ref="C59:Z59"/>
    <mergeCell ref="C10:Z10"/>
    <mergeCell ref="C14:Z14"/>
    <mergeCell ref="C19:Z19"/>
    <mergeCell ref="C24:Z24"/>
    <mergeCell ref="C29:Z29"/>
    <mergeCell ref="C39:Z39"/>
  </mergeCells>
  <phoneticPr fontId="3"/>
  <hyperlinks>
    <hyperlink ref="C10" r:id="rId1" xr:uid="{3909E056-E3D6-4E00-AD09-26A70849FA7D}"/>
    <hyperlink ref="C14" r:id="rId2" xr:uid="{FF8698F1-7BF5-4FD8-B087-5F64F7321A44}"/>
    <hyperlink ref="C19" r:id="rId3" xr:uid="{A27E1326-1F38-4430-8D31-09E41B8D9985}"/>
    <hyperlink ref="C29" r:id="rId4" xr:uid="{3EF27413-F642-4257-888C-A7D4F153CACB}"/>
    <hyperlink ref="C39" r:id="rId5" xr:uid="{9A382374-7566-4C9C-8274-4980CCA863D8}"/>
    <hyperlink ref="C41" r:id="rId6" xr:uid="{FBA9BA0C-2AED-4FF9-A38C-F171FDF80E0B}"/>
    <hyperlink ref="C45" r:id="rId7" xr:uid="{58276422-0246-462B-BD17-00D78F5DDF9F}"/>
    <hyperlink ref="C51" r:id="rId8" xr:uid="{DC2996D6-CE09-43D7-BD0F-E2EED143B232}"/>
    <hyperlink ref="C59" r:id="rId9" xr:uid="{7273F9B8-932E-432F-BF29-8865B1FC11C3}"/>
    <hyperlink ref="C24" r:id="rId10" xr:uid="{EFD84D69-3B64-4084-A501-1B60B152F43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DY312"/>
  <sheetViews>
    <sheetView showGridLines="0" zoomScale="85" zoomScaleNormal="85" zoomScaleSheetLayoutView="75" workbookViewId="0">
      <selection activeCell="A17" sqref="A17"/>
    </sheetView>
  </sheetViews>
  <sheetFormatPr defaultColWidth="3.08984375" defaultRowHeight="19.5" customHeight="1"/>
  <cols>
    <col min="1" max="1" width="3.36328125" style="112" customWidth="1"/>
    <col min="2" max="2" width="3.36328125" style="183" customWidth="1"/>
    <col min="3" max="3" width="3.36328125" style="126" customWidth="1"/>
    <col min="4" max="28" width="3.36328125" style="112" customWidth="1"/>
    <col min="29" max="37" width="3.36328125" style="141" customWidth="1"/>
    <col min="38" max="46" width="3.36328125" style="112" customWidth="1"/>
    <col min="47" max="47" width="3.36328125" style="113" customWidth="1"/>
    <col min="48" max="48" width="6.7265625" style="151" hidden="1" customWidth="1"/>
    <col min="49" max="52" width="5.90625" style="20" hidden="1" customWidth="1"/>
    <col min="53" max="63" width="5.90625" style="2" hidden="1" customWidth="1"/>
    <col min="64" max="65" width="6.6328125" style="2" hidden="1" customWidth="1"/>
    <col min="66" max="74" width="5.90625" style="2" hidden="1" customWidth="1"/>
    <col min="75" max="75" width="12.6328125" style="2" hidden="1" customWidth="1"/>
    <col min="76" max="76" width="11.6328125" style="2" hidden="1" customWidth="1"/>
    <col min="77" max="77" width="5.90625" style="2" hidden="1" customWidth="1"/>
    <col min="78" max="79" width="7.6328125" style="88" hidden="1" customWidth="1"/>
    <col min="80" max="80" width="5.90625" style="43" hidden="1" customWidth="1"/>
    <col min="81" max="81" width="5.90625" style="2" hidden="1" customWidth="1"/>
    <col min="82" max="82" width="5.90625" style="4" hidden="1" customWidth="1"/>
    <col min="83" max="83" width="27.08984375" style="4" hidden="1" customWidth="1"/>
    <col min="84" max="84" width="5.90625" style="4" hidden="1" customWidth="1"/>
    <col min="85" max="85" width="5.90625" style="22" hidden="1" customWidth="1"/>
    <col min="86" max="86" width="16.6328125" style="2" hidden="1" customWidth="1"/>
    <col min="87" max="87" width="10.6328125" style="2" hidden="1" customWidth="1"/>
    <col min="88" max="88" width="5.08984375" style="2" hidden="1" customWidth="1"/>
    <col min="89" max="89" width="3.6328125" style="2" hidden="1" customWidth="1"/>
    <col min="90" max="90" width="3.6328125" style="42" hidden="1" customWidth="1"/>
    <col min="91" max="92" width="5.90625" style="42" hidden="1" customWidth="1"/>
    <col min="93" max="93" width="16.6328125" style="42" hidden="1" customWidth="1"/>
    <col min="94" max="94" width="16.6328125" style="63" hidden="1" customWidth="1"/>
    <col min="95" max="95" width="5.90625" style="42" hidden="1" customWidth="1"/>
    <col min="96" max="96" width="20.453125" style="42" hidden="1" customWidth="1"/>
    <col min="97" max="97" width="5.08984375" style="2" hidden="1" customWidth="1"/>
    <col min="98" max="98" width="8.6328125" style="2" hidden="1" customWidth="1"/>
    <col min="99" max="99" width="5.90625" style="2" hidden="1" customWidth="1"/>
    <col min="100" max="100" width="5.90625" style="44" hidden="1" customWidth="1"/>
    <col min="101" max="101" width="10.453125" style="64" hidden="1" customWidth="1"/>
    <col min="102" max="102" width="6.6328125" style="64" hidden="1" customWidth="1"/>
    <col min="103" max="103" width="5.90625" style="64" hidden="1" customWidth="1"/>
    <col min="104" max="106" width="5.90625" style="32" hidden="1" customWidth="1"/>
    <col min="107" max="107" width="5.90625" style="31" hidden="1" customWidth="1"/>
    <col min="108" max="108" width="5.90625" style="33" hidden="1" customWidth="1"/>
    <col min="109" max="109" width="5.90625" style="31" hidden="1" customWidth="1"/>
    <col min="110" max="111" width="5.90625" style="32" hidden="1" customWidth="1"/>
    <col min="112" max="112" width="11.6328125" style="32" hidden="1" customWidth="1"/>
    <col min="113" max="113" width="29.08984375" style="32" hidden="1" customWidth="1"/>
    <col min="114" max="114" width="5.90625" style="32" hidden="1" customWidth="1"/>
    <col min="115" max="115" width="10.36328125" style="32" hidden="1" customWidth="1"/>
    <col min="116" max="116" width="8.7265625" style="79" hidden="1" customWidth="1"/>
    <col min="117" max="117" width="5.90625" style="79" hidden="1" customWidth="1"/>
    <col min="118" max="118" width="9.26953125" style="80" hidden="1" customWidth="1"/>
    <col min="119" max="119" width="5.90625" style="2" hidden="1" customWidth="1"/>
    <col min="120" max="120" width="11.26953125" style="2" hidden="1" customWidth="1"/>
    <col min="121" max="121" width="26.08984375" style="10" hidden="1" customWidth="1"/>
    <col min="122" max="122" width="4.6328125" style="10" hidden="1" customWidth="1"/>
    <col min="123" max="123" width="62.6328125" style="10" hidden="1" customWidth="1"/>
    <col min="124" max="124" width="5.6328125" style="10" hidden="1" customWidth="1"/>
    <col min="125" max="125" width="8.7265625" style="10" hidden="1" customWidth="1"/>
    <col min="126" max="126" width="5.90625" style="22" hidden="1" customWidth="1"/>
    <col min="127" max="127" width="3.36328125" style="4" customWidth="1"/>
    <col min="128" max="137" width="3.08984375" style="4" customWidth="1"/>
    <col min="138" max="16384" width="3.08984375" style="4"/>
  </cols>
  <sheetData>
    <row r="1" spans="1:129" ht="19.5" customHeight="1" thickBot="1">
      <c r="B1" s="179"/>
      <c r="C1" s="112"/>
      <c r="AC1" s="112"/>
      <c r="AD1" s="112"/>
      <c r="AE1" s="112"/>
      <c r="AF1" s="112"/>
      <c r="AG1" s="112"/>
      <c r="AH1" s="112"/>
      <c r="AI1" s="112"/>
      <c r="AJ1" s="112"/>
      <c r="AK1" s="112"/>
      <c r="AU1" s="164" t="str">
        <f>記入シート2!AU1</f>
        <v>Ver 3.51</v>
      </c>
      <c r="AV1" s="151" t="str">
        <f>T(I3)</f>
        <v/>
      </c>
      <c r="BC1" s="2" t="s">
        <v>2081</v>
      </c>
      <c r="BW1" s="2" t="s">
        <v>2100</v>
      </c>
      <c r="BX1" s="2" t="s">
        <v>2016</v>
      </c>
      <c r="BZ1" s="2" t="s">
        <v>697</v>
      </c>
      <c r="CA1" s="581" t="s">
        <v>645</v>
      </c>
      <c r="CB1" s="582" t="s">
        <v>646</v>
      </c>
      <c r="CC1" s="3"/>
      <c r="CD1" s="98" t="s">
        <v>688</v>
      </c>
      <c r="CE1" s="97" t="s">
        <v>689</v>
      </c>
      <c r="CF1" s="97" t="s">
        <v>690</v>
      </c>
      <c r="CH1" s="59" t="s">
        <v>634</v>
      </c>
      <c r="CI1" s="59"/>
      <c r="CJ1" s="59"/>
      <c r="CK1" s="59"/>
      <c r="CL1" s="59"/>
      <c r="CM1" s="59"/>
      <c r="CN1" s="59"/>
      <c r="CO1" s="10"/>
      <c r="CP1" s="43"/>
      <c r="CQ1" s="2"/>
      <c r="CR1" s="44" t="s">
        <v>6</v>
      </c>
      <c r="CS1" s="44" t="s">
        <v>618</v>
      </c>
      <c r="CT1" s="44" t="s">
        <v>4</v>
      </c>
      <c r="CU1" s="44" t="s">
        <v>5</v>
      </c>
      <c r="CV1" s="10"/>
      <c r="CW1" s="5" t="s">
        <v>2</v>
      </c>
      <c r="CX1" s="5"/>
      <c r="CY1" s="35"/>
      <c r="CZ1" s="6"/>
      <c r="DA1" s="35"/>
      <c r="DB1" s="5" t="s">
        <v>618</v>
      </c>
      <c r="DC1" s="5" t="s">
        <v>623</v>
      </c>
      <c r="DD1" s="5" t="s">
        <v>8</v>
      </c>
      <c r="DF1" s="64"/>
      <c r="DG1" s="64"/>
      <c r="DH1" s="5" t="s">
        <v>3</v>
      </c>
      <c r="DI1" s="64"/>
      <c r="DJ1" s="65"/>
      <c r="DK1" s="65"/>
      <c r="DL1" s="66" t="s">
        <v>9</v>
      </c>
      <c r="DM1" s="66" t="s">
        <v>10</v>
      </c>
      <c r="DN1" s="67" t="s">
        <v>8</v>
      </c>
      <c r="DP1" s="358" t="s">
        <v>1113</v>
      </c>
      <c r="DQ1" s="358"/>
      <c r="DR1" s="358"/>
      <c r="DS1" s="358"/>
      <c r="DT1" s="358" t="s">
        <v>1246</v>
      </c>
      <c r="DU1" s="358" t="s">
        <v>8</v>
      </c>
      <c r="DX1" s="85"/>
      <c r="DY1" s="85"/>
    </row>
    <row r="2" spans="1:129" ht="19.5" customHeight="1" thickTop="1" thickBot="1">
      <c r="B2" s="180"/>
      <c r="C2" s="118" t="s">
        <v>344</v>
      </c>
      <c r="D2" s="118"/>
      <c r="E2" s="118"/>
      <c r="F2" s="118"/>
      <c r="G2" s="118"/>
      <c r="H2" s="118"/>
      <c r="I2" s="165" t="str">
        <f>IF(AND(記入シート1!AV12=2,I3=""),"↓サービスID追加のため、マーチャントIDを確認し正確に記入してください。",IF(AND(記入シート1!AV12=1,I3&lt;&gt;""),"↓新規の場合、マーチャントIDは指定出来ません。",""))</f>
        <v/>
      </c>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9"/>
      <c r="AU2" s="166"/>
      <c r="AV2" s="254" t="str">
        <f>T(R3)</f>
        <v/>
      </c>
      <c r="BC2" s="2" t="s">
        <v>642</v>
      </c>
      <c r="BW2" s="2" t="s">
        <v>2101</v>
      </c>
      <c r="BX2" s="2" t="s">
        <v>1993</v>
      </c>
      <c r="BZ2" s="583" t="s">
        <v>1302</v>
      </c>
      <c r="CA2" s="584" t="str">
        <f>TEXT(BZ2,"0000000")</f>
        <v>0030302</v>
      </c>
      <c r="CB2" s="585" t="s">
        <v>1368</v>
      </c>
      <c r="CD2" s="108">
        <v>3033</v>
      </c>
      <c r="CE2" s="271" t="s">
        <v>3372</v>
      </c>
      <c r="CF2" s="108">
        <v>3033</v>
      </c>
      <c r="CH2" s="46" t="s">
        <v>323</v>
      </c>
      <c r="CI2" s="47" t="s">
        <v>586</v>
      </c>
      <c r="CJ2" s="47" t="s">
        <v>321</v>
      </c>
      <c r="CK2" s="46" t="s">
        <v>320</v>
      </c>
      <c r="CL2" s="46" t="s">
        <v>587</v>
      </c>
      <c r="CM2" s="46" t="s">
        <v>326</v>
      </c>
      <c r="CN2" s="46" t="s">
        <v>327</v>
      </c>
      <c r="CO2" s="46" t="s">
        <v>376</v>
      </c>
      <c r="CP2" s="46" t="s">
        <v>328</v>
      </c>
      <c r="CQ2" s="2"/>
      <c r="CR2" s="48" t="s">
        <v>11</v>
      </c>
      <c r="CS2" s="48" t="s">
        <v>12</v>
      </c>
      <c r="CT2" s="48" t="s">
        <v>13</v>
      </c>
      <c r="CU2" s="48" t="s">
        <v>619</v>
      </c>
      <c r="CV2" s="10"/>
      <c r="CW2" s="7" t="s">
        <v>323</v>
      </c>
      <c r="CX2" s="7" t="s">
        <v>705</v>
      </c>
      <c r="CY2" s="7" t="s">
        <v>326</v>
      </c>
      <c r="CZ2" s="7" t="s">
        <v>621</v>
      </c>
      <c r="DA2" s="7" t="s">
        <v>622</v>
      </c>
      <c r="DB2" s="7" t="s">
        <v>12</v>
      </c>
      <c r="DC2" s="7" t="s">
        <v>15</v>
      </c>
      <c r="DD2" s="7" t="s">
        <v>631</v>
      </c>
      <c r="DF2" s="64"/>
      <c r="DG2" s="64"/>
      <c r="DH2" s="68" t="s">
        <v>632</v>
      </c>
      <c r="DI2" s="68" t="s">
        <v>633</v>
      </c>
      <c r="DJ2" s="69" t="s">
        <v>326</v>
      </c>
      <c r="DK2" s="69" t="s">
        <v>582</v>
      </c>
      <c r="DL2" s="70" t="s">
        <v>14</v>
      </c>
      <c r="DM2" s="70" t="s">
        <v>17</v>
      </c>
      <c r="DN2" s="68" t="s">
        <v>16</v>
      </c>
      <c r="DP2" s="68" t="s">
        <v>1247</v>
      </c>
      <c r="DQ2" s="68" t="s">
        <v>633</v>
      </c>
      <c r="DR2" s="68" t="s">
        <v>1248</v>
      </c>
      <c r="DS2" s="68" t="s">
        <v>1249</v>
      </c>
      <c r="DT2" s="70" t="s">
        <v>17</v>
      </c>
      <c r="DU2" s="7" t="s">
        <v>631</v>
      </c>
      <c r="DX2" s="85"/>
      <c r="DY2" s="85"/>
    </row>
    <row r="3" spans="1:129" ht="19.5" customHeight="1" thickTop="1">
      <c r="B3" s="181">
        <f>記入シート1!B4+【見本】記入シート2!B4</f>
        <v>7</v>
      </c>
      <c r="C3" s="2428" t="s">
        <v>329</v>
      </c>
      <c r="D3" s="2429"/>
      <c r="E3" s="2429"/>
      <c r="F3" s="2429"/>
      <c r="G3" s="2429"/>
      <c r="H3" s="2430"/>
      <c r="I3" s="2431"/>
      <c r="J3" s="2432"/>
      <c r="K3" s="2433"/>
      <c r="L3" s="2434" t="s">
        <v>330</v>
      </c>
      <c r="M3" s="2429"/>
      <c r="N3" s="2429"/>
      <c r="O3" s="2429"/>
      <c r="P3" s="2429"/>
      <c r="Q3" s="2430"/>
      <c r="R3" s="2431"/>
      <c r="S3" s="2433"/>
      <c r="T3" s="2409" t="s">
        <v>782</v>
      </c>
      <c r="U3" s="2410"/>
      <c r="V3" s="2410"/>
      <c r="W3" s="2413"/>
      <c r="X3" s="2414"/>
      <c r="Y3" s="2414"/>
      <c r="Z3" s="2409" t="s">
        <v>644</v>
      </c>
      <c r="AA3" s="2410"/>
      <c r="AB3" s="2410"/>
      <c r="AC3" s="2411" t="str">
        <f>IF(W3="","",VLOOKUP(W3,CA:CB,2,0))</f>
        <v/>
      </c>
      <c r="AD3" s="2412"/>
      <c r="AE3" s="2412"/>
      <c r="AF3" s="2409" t="s">
        <v>783</v>
      </c>
      <c r="AG3" s="2410"/>
      <c r="AH3" s="2410"/>
      <c r="AI3" s="2413"/>
      <c r="AJ3" s="2414"/>
      <c r="AK3" s="2414"/>
      <c r="AL3" s="2415" t="s">
        <v>781</v>
      </c>
      <c r="AM3" s="2415"/>
      <c r="AN3" s="2415"/>
      <c r="AO3" s="2415"/>
      <c r="AP3" s="2426"/>
      <c r="AQ3" s="2426"/>
      <c r="AR3" s="2426"/>
      <c r="AS3" s="2426"/>
      <c r="AT3" s="2427"/>
      <c r="AU3" s="167"/>
      <c r="BC3" s="2" t="s">
        <v>2082</v>
      </c>
      <c r="BW3" s="2" t="s">
        <v>2102</v>
      </c>
      <c r="BX3" s="2" t="s">
        <v>1994</v>
      </c>
      <c r="BZ3" s="583" t="s">
        <v>1303</v>
      </c>
      <c r="CA3" s="584" t="str">
        <f t="shared" ref="CA3:CA62" si="0">TEXT(BZ3,"0000000")</f>
        <v>0430106</v>
      </c>
      <c r="CB3" s="585" t="s">
        <v>647</v>
      </c>
      <c r="CD3" s="108">
        <v>6028</v>
      </c>
      <c r="CE3" s="108" t="s">
        <v>3383</v>
      </c>
      <c r="CF3" s="108">
        <v>6028</v>
      </c>
      <c r="CH3" s="49" t="s">
        <v>351</v>
      </c>
      <c r="CI3" s="49" t="s">
        <v>292</v>
      </c>
      <c r="CJ3" s="49">
        <v>5</v>
      </c>
      <c r="CK3" s="49" t="s">
        <v>216</v>
      </c>
      <c r="CL3" s="49" t="s">
        <v>83</v>
      </c>
      <c r="CM3" s="49"/>
      <c r="CN3" s="49" t="s">
        <v>591</v>
      </c>
      <c r="CO3" s="50" t="s">
        <v>311</v>
      </c>
      <c r="CP3" s="51" t="str">
        <f>ASC(I3)</f>
        <v/>
      </c>
      <c r="CQ3" s="2"/>
      <c r="CR3" s="52" t="s">
        <v>879</v>
      </c>
      <c r="CS3" s="52">
        <v>106</v>
      </c>
      <c r="CT3" s="53" t="str">
        <f>$CP$14</f>
        <v>20210601</v>
      </c>
      <c r="CU3" s="54">
        <f>IF(CV3&gt;0,1,0)</f>
        <v>1</v>
      </c>
      <c r="CV3" s="10">
        <f t="shared" ref="CV3:CV44" si="1">SUMIF(AY$11:AY$143,CS3,AZ$11:AZ$143)</f>
        <v>1</v>
      </c>
      <c r="CW3" s="8" t="s">
        <v>715</v>
      </c>
      <c r="CX3" s="8"/>
      <c r="CY3" s="36"/>
      <c r="CZ3" s="37"/>
      <c r="DA3" s="36"/>
      <c r="DB3" s="71" t="str">
        <f>LEFT(DC3,3)</f>
        <v>001</v>
      </c>
      <c r="DC3" s="101" t="s">
        <v>318</v>
      </c>
      <c r="DD3" s="72"/>
      <c r="DF3" s="64"/>
      <c r="DG3" s="64"/>
      <c r="DH3" s="73" t="s">
        <v>891</v>
      </c>
      <c r="DI3" s="74" t="s">
        <v>937</v>
      </c>
      <c r="DJ3" s="38" t="s">
        <v>624</v>
      </c>
      <c r="DK3" s="75" t="str">
        <f t="shared" ref="DK3:DK66" si="2">DL3&amp;DM3</f>
        <v>106022Y1</v>
      </c>
      <c r="DL3" s="78" t="s">
        <v>880</v>
      </c>
      <c r="DM3" s="76" t="s">
        <v>935</v>
      </c>
      <c r="DN3" s="226">
        <f>IF(AV18=TRUE,1,0)</f>
        <v>1</v>
      </c>
      <c r="DP3" s="83" t="s">
        <v>1250</v>
      </c>
      <c r="DQ3" s="83" t="s">
        <v>1114</v>
      </c>
      <c r="DR3" s="83" t="s">
        <v>1112</v>
      </c>
      <c r="DS3" s="83" t="s">
        <v>1251</v>
      </c>
      <c r="DT3" s="50" t="s">
        <v>1115</v>
      </c>
      <c r="DU3" s="227">
        <f>IF(記入シート1!AV97=0,"",記入シート1!AV97)</f>
        <v>2</v>
      </c>
      <c r="DX3" s="85"/>
      <c r="DY3" s="85"/>
    </row>
    <row r="4" spans="1:129" ht="19.5" customHeight="1">
      <c r="B4" s="181">
        <f>SUM(B5:B188)</f>
        <v>1</v>
      </c>
      <c r="C4" s="2436" t="s">
        <v>691</v>
      </c>
      <c r="D4" s="2437"/>
      <c r="E4" s="2437"/>
      <c r="F4" s="2437"/>
      <c r="G4" s="2437"/>
      <c r="H4" s="2438"/>
      <c r="I4" s="2439"/>
      <c r="J4" s="1325"/>
      <c r="K4" s="2440"/>
      <c r="L4" s="1323" t="str">
        <f>IF(OR(I4="",I4="－",I4="‐",I4="-",I4="ー"),"",IF(ISERROR(VLOOKUP(I4,$CD$1:$CF$100,2,FALSE)),"登録中",VLOOKUP(I4,$CD$1:$CF$100,2,FALSE)))</f>
        <v/>
      </c>
      <c r="M4" s="1324"/>
      <c r="N4" s="1324"/>
      <c r="O4" s="1324"/>
      <c r="P4" s="1324"/>
      <c r="Q4" s="1324"/>
      <c r="R4" s="1324"/>
      <c r="S4" s="1324"/>
      <c r="T4" s="1324"/>
      <c r="U4" s="1324"/>
      <c r="V4" s="1324"/>
      <c r="W4" s="1324"/>
      <c r="X4" s="1324"/>
      <c r="Y4" s="1324"/>
      <c r="Z4" s="1324"/>
      <c r="AA4" s="1324"/>
      <c r="AB4" s="2441"/>
      <c r="AC4" s="2442" t="s">
        <v>336</v>
      </c>
      <c r="AD4" s="2442"/>
      <c r="AE4" s="2442"/>
      <c r="AF4" s="2442"/>
      <c r="AG4" s="2443" t="str">
        <f>IF(L4="登録中","",IF(LEN(I4)=4,I4,""))</f>
        <v/>
      </c>
      <c r="AH4" s="2443"/>
      <c r="AI4" s="2443"/>
      <c r="AJ4" s="2443"/>
      <c r="AK4" s="2443"/>
      <c r="AL4" s="1301" t="s">
        <v>3579</v>
      </c>
      <c r="AM4" s="1302"/>
      <c r="AN4" s="1302"/>
      <c r="AO4" s="1302"/>
      <c r="AP4" s="1574"/>
      <c r="AQ4" s="1574"/>
      <c r="AR4" s="1574"/>
      <c r="AS4" s="1574"/>
      <c r="AT4" s="2435"/>
      <c r="AU4" s="167"/>
      <c r="BX4" s="2" t="s">
        <v>1995</v>
      </c>
      <c r="BZ4" s="583" t="s">
        <v>1304</v>
      </c>
      <c r="CA4" s="584" t="str">
        <f t="shared" si="0"/>
        <v>0430268</v>
      </c>
      <c r="CB4" s="585" t="s">
        <v>648</v>
      </c>
      <c r="CD4" s="108">
        <v>6032</v>
      </c>
      <c r="CE4" s="108" t="s">
        <v>3384</v>
      </c>
      <c r="CF4" s="108">
        <v>6032</v>
      </c>
      <c r="CH4" s="49" t="s">
        <v>353</v>
      </c>
      <c r="CI4" s="49" t="s">
        <v>63</v>
      </c>
      <c r="CJ4" s="49">
        <v>3</v>
      </c>
      <c r="CK4" s="49" t="s">
        <v>216</v>
      </c>
      <c r="CL4" s="49" t="s">
        <v>83</v>
      </c>
      <c r="CM4" s="49"/>
      <c r="CN4" s="49" t="s">
        <v>588</v>
      </c>
      <c r="CO4" s="50" t="s">
        <v>309</v>
      </c>
      <c r="CP4" s="51" t="str">
        <f>ASC(R3)</f>
        <v/>
      </c>
      <c r="CQ4" s="2"/>
      <c r="CR4" s="52" t="s">
        <v>1007</v>
      </c>
      <c r="CS4" s="52">
        <v>707</v>
      </c>
      <c r="CT4" s="52" t="str">
        <f>CT3</f>
        <v>20210601</v>
      </c>
      <c r="CU4" s="54">
        <f>IF(CV4&gt;0,1,0)</f>
        <v>0</v>
      </c>
      <c r="CV4" s="10">
        <f t="shared" si="1"/>
        <v>0</v>
      </c>
      <c r="CW4" s="94" t="s">
        <v>317</v>
      </c>
      <c r="CX4" s="94" t="s">
        <v>749</v>
      </c>
      <c r="CY4" s="99" t="s">
        <v>931</v>
      </c>
      <c r="CZ4" s="100" t="s">
        <v>343</v>
      </c>
      <c r="DA4" s="99"/>
      <c r="DB4" s="71" t="str">
        <f t="shared" ref="DB4:DB69" si="3">LEFT(DC4,3)</f>
        <v>001</v>
      </c>
      <c r="DC4" s="101" t="s">
        <v>748</v>
      </c>
      <c r="DD4" s="72">
        <v>2</v>
      </c>
      <c r="DF4" s="64"/>
      <c r="DG4" s="64"/>
      <c r="DH4" s="73" t="s">
        <v>891</v>
      </c>
      <c r="DI4" s="74" t="s">
        <v>938</v>
      </c>
      <c r="DJ4" s="38" t="s">
        <v>624</v>
      </c>
      <c r="DK4" s="75" t="str">
        <f t="shared" si="2"/>
        <v>106022Y2</v>
      </c>
      <c r="DL4" s="78" t="s">
        <v>880</v>
      </c>
      <c r="DM4" s="76" t="s">
        <v>936</v>
      </c>
      <c r="DN4" s="226">
        <f>IF(AV19=TRUE,1,0)</f>
        <v>1</v>
      </c>
      <c r="DP4" s="83" t="s">
        <v>1250</v>
      </c>
      <c r="DQ4" s="83" t="s">
        <v>1116</v>
      </c>
      <c r="DR4" s="83" t="s">
        <v>1252</v>
      </c>
      <c r="DS4" s="83" t="s">
        <v>1253</v>
      </c>
      <c r="DT4" s="50" t="s">
        <v>1254</v>
      </c>
      <c r="DU4" s="227" t="str">
        <f>IF(記入シート1!AV97=3,RIGHT("0000"&amp;記入シート1!AF97,4)&amp;RIGHT("00"&amp;記入シート1!AJ97,2),"")</f>
        <v/>
      </c>
      <c r="DX4" s="85"/>
      <c r="DY4" s="85"/>
    </row>
    <row r="5" spans="1:129" ht="19.5" customHeight="1" thickBot="1">
      <c r="B5" s="181">
        <f>IF(OR(W3="",AP3="",I4=""),1,0)</f>
        <v>1</v>
      </c>
      <c r="C5" s="2436" t="s">
        <v>584</v>
      </c>
      <c r="D5" s="2437"/>
      <c r="E5" s="2437"/>
      <c r="F5" s="2437"/>
      <c r="G5" s="2437"/>
      <c r="H5" s="2438"/>
      <c r="I5" s="529" t="s">
        <v>585</v>
      </c>
      <c r="J5" s="2416" t="str">
        <f>IF(記入シート1!B13=0,"-","※")</f>
        <v>※</v>
      </c>
      <c r="K5" s="2417"/>
      <c r="L5" s="530">
        <v>1</v>
      </c>
      <c r="M5" s="2416" t="str">
        <f>IF(記入シート1!B27=0,"-","※")</f>
        <v>※</v>
      </c>
      <c r="N5" s="2417"/>
      <c r="O5" s="530">
        <v>2</v>
      </c>
      <c r="P5" s="2416" t="str">
        <f>IF(記入シート1!B48=0,"-","※")</f>
        <v>※</v>
      </c>
      <c r="Q5" s="2417"/>
      <c r="R5" s="530">
        <v>3</v>
      </c>
      <c r="S5" s="2416" t="str">
        <f>IF(記入シート1!B60=0,"-","※")</f>
        <v>※</v>
      </c>
      <c r="T5" s="2417"/>
      <c r="U5" s="530">
        <v>4</v>
      </c>
      <c r="V5" s="2416" t="str">
        <f>IF(記入シート1!B104=0,"-","※")</f>
        <v>※</v>
      </c>
      <c r="W5" s="2417"/>
      <c r="X5" s="530">
        <v>5</v>
      </c>
      <c r="Y5" s="2416" t="str">
        <f>IF(記入シート1!B117=0,"-","※")</f>
        <v>※</v>
      </c>
      <c r="Z5" s="2417"/>
      <c r="AA5" s="530">
        <v>6</v>
      </c>
      <c r="AB5" s="2416" t="str">
        <f ca="1">IF((OR(AND(AV18=FALSE,AV28=FALSE,AV43=FALSE,AV59=FALSE),AV25="NG",AW63="NG",AX66="NG",AY68="NG",AY72="NG",AW115="NG",AND(OR(AV96=TRUE,AV97=TRUE),AV99=FALSE))),"※","-")</f>
        <v>※</v>
      </c>
      <c r="AC5" s="2417"/>
      <c r="AD5" s="530">
        <v>7</v>
      </c>
      <c r="AE5" s="2418" t="str">
        <f>IF(AV126="NG","※","-")</f>
        <v>-</v>
      </c>
      <c r="AF5" s="2419"/>
      <c r="AG5" s="530">
        <v>8</v>
      </c>
      <c r="AH5" s="2418" t="str">
        <f>IF(AV155="NG","※","-")</f>
        <v>-</v>
      </c>
      <c r="AI5" s="2444"/>
      <c r="AJ5" s="560"/>
      <c r="AK5" s="561"/>
      <c r="AL5" s="1474" t="s">
        <v>779</v>
      </c>
      <c r="AM5" s="2437"/>
      <c r="AN5" s="2437"/>
      <c r="AO5" s="2437"/>
      <c r="AP5" s="2443">
        <f>記入シート2!AP5</f>
        <v>6691</v>
      </c>
      <c r="AQ5" s="2443"/>
      <c r="AR5" s="2443"/>
      <c r="AS5" s="2443"/>
      <c r="AT5" s="2445"/>
      <c r="AU5" s="167"/>
      <c r="AV5" s="254"/>
      <c r="BX5" s="2" t="s">
        <v>1996</v>
      </c>
      <c r="BZ5" s="583" t="s">
        <v>1305</v>
      </c>
      <c r="CA5" s="584" t="str">
        <f t="shared" si="0"/>
        <v>0435209</v>
      </c>
      <c r="CB5" s="585" t="s">
        <v>649</v>
      </c>
      <c r="CD5" s="108">
        <v>6034</v>
      </c>
      <c r="CE5" s="272" t="s">
        <v>3373</v>
      </c>
      <c r="CF5" s="108">
        <v>6034</v>
      </c>
      <c r="CH5" s="49" t="s">
        <v>356</v>
      </c>
      <c r="CI5" s="49" t="s">
        <v>21</v>
      </c>
      <c r="CJ5" s="49">
        <v>10</v>
      </c>
      <c r="CK5" s="49" t="s">
        <v>216</v>
      </c>
      <c r="CL5" s="49" t="s">
        <v>83</v>
      </c>
      <c r="CM5" s="49"/>
      <c r="CN5" s="49" t="s">
        <v>358</v>
      </c>
      <c r="CO5" s="50" t="s">
        <v>306</v>
      </c>
      <c r="CP5" s="51" t="str">
        <f>ASC(W3)</f>
        <v/>
      </c>
      <c r="CQ5" s="2"/>
      <c r="CR5" s="52" t="s">
        <v>1912</v>
      </c>
      <c r="CS5" s="52">
        <v>107</v>
      </c>
      <c r="CT5" s="53" t="str">
        <f t="shared" ref="CT5:CT19" si="4">$CP$14</f>
        <v>20210601</v>
      </c>
      <c r="CU5" s="54">
        <f t="shared" ref="CU5:CU19" si="5">IF(CV5&gt;0,1,0)</f>
        <v>1</v>
      </c>
      <c r="CV5" s="10">
        <f t="shared" si="1"/>
        <v>1</v>
      </c>
      <c r="CW5" s="8" t="s">
        <v>304</v>
      </c>
      <c r="CX5" s="8" t="s">
        <v>749</v>
      </c>
      <c r="CY5" s="38" t="s">
        <v>733</v>
      </c>
      <c r="CZ5" s="39" t="s">
        <v>349</v>
      </c>
      <c r="DA5" s="38"/>
      <c r="DB5" s="71" t="str">
        <f t="shared" si="3"/>
        <v>001</v>
      </c>
      <c r="DC5" s="101" t="s">
        <v>305</v>
      </c>
      <c r="DD5" s="72">
        <v>0</v>
      </c>
      <c r="DF5" s="64"/>
      <c r="DG5" s="64"/>
      <c r="DH5" s="73" t="s">
        <v>891</v>
      </c>
      <c r="DI5" s="74" t="s">
        <v>335</v>
      </c>
      <c r="DJ5" s="38"/>
      <c r="DK5" s="75" t="str">
        <f t="shared" si="2"/>
        <v>106022Y5</v>
      </c>
      <c r="DL5" s="78" t="s">
        <v>880</v>
      </c>
      <c r="DM5" s="76" t="s">
        <v>912</v>
      </c>
      <c r="DN5" s="226" t="str">
        <f>ASC(SUBSTITUTE(SUBSTITUTE(SUBSTITUTE(T(記入シート1!I60),"―","ー"),"－","‐"),"～","ー"))</f>
        <v/>
      </c>
      <c r="DP5" s="83" t="s">
        <v>1250</v>
      </c>
      <c r="DQ5" s="83" t="s">
        <v>1117</v>
      </c>
      <c r="DR5" s="83" t="s">
        <v>1112</v>
      </c>
      <c r="DS5" s="83" t="s">
        <v>1255</v>
      </c>
      <c r="DT5" s="50" t="s">
        <v>1118</v>
      </c>
      <c r="DU5" s="227">
        <f>IF(記入シート1!AV99=0,"",記入シート1!AV99)</f>
        <v>3</v>
      </c>
      <c r="DX5" s="85"/>
      <c r="DY5" s="85"/>
    </row>
    <row r="6" spans="1:129" ht="19.5" customHeight="1" thickTop="1" thickBot="1">
      <c r="B6" s="181"/>
      <c r="C6" s="233"/>
      <c r="D6" s="233"/>
      <c r="E6" s="233"/>
      <c r="F6" s="233"/>
      <c r="G6" s="233"/>
      <c r="H6" s="233"/>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2"/>
      <c r="AI6" s="232"/>
      <c r="AJ6" s="232"/>
      <c r="AK6" s="232"/>
      <c r="AL6" s="233"/>
      <c r="AM6" s="233"/>
      <c r="AN6" s="233"/>
      <c r="AO6" s="233"/>
      <c r="AP6" s="485"/>
      <c r="AQ6" s="234"/>
      <c r="AR6" s="234"/>
      <c r="AS6" s="234"/>
      <c r="AT6" s="235"/>
      <c r="AU6" s="167"/>
      <c r="AV6" s="254"/>
      <c r="BX6" s="2" t="s">
        <v>1997</v>
      </c>
      <c r="BZ6" s="583" t="s">
        <v>1306</v>
      </c>
      <c r="CA6" s="584" t="str">
        <f t="shared" si="0"/>
        <v>0441261</v>
      </c>
      <c r="CB6" s="585" t="s">
        <v>650</v>
      </c>
      <c r="CC6" s="9"/>
      <c r="CD6" s="108">
        <v>6036</v>
      </c>
      <c r="CE6" s="272" t="s">
        <v>3374</v>
      </c>
      <c r="CF6" s="108">
        <v>6036</v>
      </c>
      <c r="CH6" s="49" t="s">
        <v>346</v>
      </c>
      <c r="CI6" s="49" t="s">
        <v>292</v>
      </c>
      <c r="CJ6" s="49">
        <v>4</v>
      </c>
      <c r="CK6" s="49" t="s">
        <v>216</v>
      </c>
      <c r="CL6" s="49" t="s">
        <v>90</v>
      </c>
      <c r="CM6" s="49"/>
      <c r="CN6" s="49" t="s">
        <v>347</v>
      </c>
      <c r="CO6" s="106" t="s">
        <v>348</v>
      </c>
      <c r="CP6" s="106">
        <f>AP5</f>
        <v>6691</v>
      </c>
      <c r="CQ6" s="2"/>
      <c r="CR6" s="52" t="s">
        <v>1403</v>
      </c>
      <c r="CS6" s="52">
        <v>108</v>
      </c>
      <c r="CT6" s="53" t="str">
        <f t="shared" si="4"/>
        <v>20210601</v>
      </c>
      <c r="CU6" s="54">
        <f t="shared" si="5"/>
        <v>1</v>
      </c>
      <c r="CV6" s="10">
        <f t="shared" si="1"/>
        <v>1</v>
      </c>
      <c r="CW6" s="34" t="s">
        <v>314</v>
      </c>
      <c r="CX6" s="34" t="s">
        <v>629</v>
      </c>
      <c r="CY6" s="40" t="s">
        <v>734</v>
      </c>
      <c r="CZ6" s="41" t="s">
        <v>354</v>
      </c>
      <c r="DA6" s="40"/>
      <c r="DB6" s="34" t="str">
        <f t="shared" si="3"/>
        <v>001</v>
      </c>
      <c r="DC6" s="81" t="s">
        <v>315</v>
      </c>
      <c r="DD6" s="96"/>
      <c r="DF6" s="64"/>
      <c r="DG6" s="64"/>
      <c r="DH6" s="73" t="s">
        <v>891</v>
      </c>
      <c r="DI6" s="74" t="s">
        <v>892</v>
      </c>
      <c r="DJ6" s="74"/>
      <c r="DK6" s="75" t="str">
        <f t="shared" si="2"/>
        <v>106022Y6</v>
      </c>
      <c r="DL6" s="78" t="s">
        <v>880</v>
      </c>
      <c r="DM6" s="76" t="s">
        <v>913</v>
      </c>
      <c r="DN6" s="226" t="str">
        <f>ASC(記入シート1!I43)</f>
        <v/>
      </c>
      <c r="DP6" s="83" t="s">
        <v>1250</v>
      </c>
      <c r="DQ6" s="83" t="s">
        <v>1119</v>
      </c>
      <c r="DR6" s="83" t="s">
        <v>1252</v>
      </c>
      <c r="DS6" s="83" t="s">
        <v>1256</v>
      </c>
      <c r="DT6" s="50" t="s">
        <v>1257</v>
      </c>
      <c r="DU6" s="227" t="str">
        <f>IF(記入シート1!AV99=2,RIGHT("0000"&amp;記入シート1!AF99,4)&amp;RIGHT("00"&amp;記入シート1!AJ99,2),"")</f>
        <v/>
      </c>
      <c r="DX6" s="85"/>
      <c r="DY6" s="85"/>
    </row>
    <row r="7" spans="1:129" ht="19.5" customHeight="1" thickTop="1" thickBot="1">
      <c r="B7" s="180"/>
      <c r="C7" s="237"/>
      <c r="D7" s="237"/>
      <c r="E7" s="237"/>
      <c r="F7" s="237"/>
      <c r="G7" s="237"/>
      <c r="H7" s="237"/>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9"/>
      <c r="AI7" s="239"/>
      <c r="AJ7" s="239"/>
      <c r="AK7" s="239"/>
      <c r="AL7" s="237"/>
      <c r="AM7" s="237"/>
      <c r="AN7" s="237"/>
      <c r="AO7" s="237"/>
      <c r="AP7" s="486"/>
      <c r="AQ7" s="486"/>
      <c r="AR7" s="486"/>
      <c r="AS7" s="486"/>
      <c r="AT7" s="486"/>
      <c r="AU7" s="166"/>
      <c r="AV7" s="254"/>
      <c r="BX7" s="2" t="s">
        <v>1998</v>
      </c>
      <c r="BZ7" s="583" t="s">
        <v>1307</v>
      </c>
      <c r="CA7" s="584" t="str">
        <f t="shared" si="0"/>
        <v>0441467</v>
      </c>
      <c r="CB7" s="585" t="s">
        <v>651</v>
      </c>
      <c r="CD7" s="108">
        <v>6037</v>
      </c>
      <c r="CE7" s="271" t="s">
        <v>3375</v>
      </c>
      <c r="CF7" s="108">
        <v>6037</v>
      </c>
      <c r="CH7" s="49" t="s">
        <v>361</v>
      </c>
      <c r="CI7" s="49" t="s">
        <v>22</v>
      </c>
      <c r="CJ7" s="49">
        <v>20</v>
      </c>
      <c r="CK7" s="49" t="s">
        <v>216</v>
      </c>
      <c r="CL7" s="49" t="s">
        <v>83</v>
      </c>
      <c r="CM7" s="49"/>
      <c r="CN7" s="49" t="s">
        <v>692</v>
      </c>
      <c r="CO7" s="50" t="s">
        <v>316</v>
      </c>
      <c r="CP7" s="51" t="str">
        <f>ASC(AP3)</f>
        <v/>
      </c>
      <c r="CQ7" s="2"/>
      <c r="CR7" s="52" t="s">
        <v>1976</v>
      </c>
      <c r="CS7" s="52">
        <v>109</v>
      </c>
      <c r="CT7" s="53" t="str">
        <f t="shared" si="4"/>
        <v>20210601</v>
      </c>
      <c r="CU7" s="54">
        <f t="shared" si="5"/>
        <v>1</v>
      </c>
      <c r="CV7" s="10">
        <f t="shared" si="1"/>
        <v>1</v>
      </c>
      <c r="CW7" s="34" t="s">
        <v>716</v>
      </c>
      <c r="CX7" s="34"/>
      <c r="CY7" s="40"/>
      <c r="CZ7" s="41"/>
      <c r="DA7" s="40"/>
      <c r="DB7" s="34" t="str">
        <f t="shared" si="3"/>
        <v>001</v>
      </c>
      <c r="DC7" s="81" t="s">
        <v>312</v>
      </c>
      <c r="DD7" s="96"/>
      <c r="DF7" s="64"/>
      <c r="DG7" s="64"/>
      <c r="DH7" s="73" t="s">
        <v>891</v>
      </c>
      <c r="DI7" s="74" t="s">
        <v>893</v>
      </c>
      <c r="DJ7" s="74"/>
      <c r="DK7" s="75" t="str">
        <f t="shared" si="2"/>
        <v>106022Y7</v>
      </c>
      <c r="DL7" s="78" t="s">
        <v>880</v>
      </c>
      <c r="DM7" s="76" t="s">
        <v>914</v>
      </c>
      <c r="DN7" s="226" t="str">
        <f>IF(OR(記入シート1!AE55="",記入シート1!AK55="",記入シート1!AP55=""),"",CONCATENATE(ASC(記入シート1!AE55),"-",ASC(記入シート1!AK55),"-",ASC(記入シート1!AP55)))</f>
        <v/>
      </c>
      <c r="DP7" s="359" t="s">
        <v>1250</v>
      </c>
      <c r="DQ7" s="359" t="s">
        <v>1120</v>
      </c>
      <c r="DR7" s="359" t="s">
        <v>1258</v>
      </c>
      <c r="DS7" s="359"/>
      <c r="DT7" s="359" t="s">
        <v>1259</v>
      </c>
      <c r="DU7" s="360"/>
      <c r="DX7" s="85"/>
      <c r="DY7" s="85"/>
    </row>
    <row r="8" spans="1:129" ht="19.5" customHeight="1" thickTop="1" thickBot="1">
      <c r="B8" s="181">
        <f>IF(OR(L8="",P8="",T8="",AH8="",AL8="",AP8=""),1,0)</f>
        <v>0</v>
      </c>
      <c r="C8" s="2382" t="s">
        <v>300</v>
      </c>
      <c r="D8" s="2383"/>
      <c r="E8" s="2383"/>
      <c r="F8" s="2383"/>
      <c r="G8" s="2383"/>
      <c r="H8" s="2383"/>
      <c r="I8" s="2384"/>
      <c r="J8" s="2385" t="s">
        <v>380</v>
      </c>
      <c r="K8" s="2386"/>
      <c r="L8" s="2387">
        <v>2021</v>
      </c>
      <c r="M8" s="2387"/>
      <c r="N8" s="2387"/>
      <c r="O8" s="176" t="s">
        <v>381</v>
      </c>
      <c r="P8" s="2387">
        <v>4</v>
      </c>
      <c r="Q8" s="2387"/>
      <c r="R8" s="2387"/>
      <c r="S8" s="176" t="s">
        <v>382</v>
      </c>
      <c r="T8" s="2387">
        <v>1</v>
      </c>
      <c r="U8" s="2387"/>
      <c r="V8" s="2387"/>
      <c r="W8" s="176" t="s">
        <v>383</v>
      </c>
      <c r="X8" s="230"/>
      <c r="Y8" s="2383" t="s">
        <v>693</v>
      </c>
      <c r="Z8" s="2383"/>
      <c r="AA8" s="2383"/>
      <c r="AB8" s="2383"/>
      <c r="AC8" s="2383"/>
      <c r="AD8" s="2383"/>
      <c r="AE8" s="2384"/>
      <c r="AF8" s="2385" t="s">
        <v>380</v>
      </c>
      <c r="AG8" s="2386"/>
      <c r="AH8" s="2387">
        <v>2021</v>
      </c>
      <c r="AI8" s="2387"/>
      <c r="AJ8" s="2387"/>
      <c r="AK8" s="176" t="s">
        <v>381</v>
      </c>
      <c r="AL8" s="2387">
        <v>6</v>
      </c>
      <c r="AM8" s="2387"/>
      <c r="AN8" s="2387"/>
      <c r="AO8" s="176" t="s">
        <v>1089</v>
      </c>
      <c r="AP8" s="2387">
        <v>1</v>
      </c>
      <c r="AQ8" s="2387"/>
      <c r="AR8" s="2387"/>
      <c r="AS8" s="176" t="s">
        <v>383</v>
      </c>
      <c r="AT8" s="177"/>
      <c r="AU8" s="167"/>
      <c r="AV8" s="151" t="str">
        <f>IF(OR(L8="",P8="",T8="",AH8="",AL8="",AP8=""),"NG","OK")</f>
        <v>OK</v>
      </c>
      <c r="AX8" s="352">
        <f>IF(AV8="OK",DATE(L8,P8,T8),"")</f>
        <v>44287</v>
      </c>
      <c r="AY8" s="352">
        <f>IF(AV8="OK",DATE(AH8,AL8,AP8),"")</f>
        <v>44348</v>
      </c>
      <c r="AZ8" s="114" t="str">
        <f>IF(AX8&gt;AY8,"NG","OK")</f>
        <v>OK</v>
      </c>
      <c r="BX8" s="2" t="s">
        <v>1999</v>
      </c>
      <c r="BZ8" s="583" t="s">
        <v>1308</v>
      </c>
      <c r="CA8" s="584" t="str">
        <f t="shared" si="0"/>
        <v>0446579</v>
      </c>
      <c r="CB8" s="585" t="s">
        <v>1369</v>
      </c>
      <c r="CD8" s="108">
        <v>6038</v>
      </c>
      <c r="CE8" s="271" t="s">
        <v>3376</v>
      </c>
      <c r="CF8" s="108">
        <v>6038</v>
      </c>
      <c r="CH8" s="49" t="s">
        <v>336</v>
      </c>
      <c r="CI8" s="49" t="s">
        <v>292</v>
      </c>
      <c r="CJ8" s="49">
        <v>4</v>
      </c>
      <c r="CK8" s="49" t="s">
        <v>83</v>
      </c>
      <c r="CL8" s="49" t="s">
        <v>83</v>
      </c>
      <c r="CM8" s="57"/>
      <c r="CN8" s="58" t="s">
        <v>367</v>
      </c>
      <c r="CO8" s="50" t="s">
        <v>368</v>
      </c>
      <c r="CP8" s="51" t="str">
        <f>IF(LEN(AG4)&gt;0,AG4,"")</f>
        <v/>
      </c>
      <c r="CQ8" s="2"/>
      <c r="CR8" s="52" t="s">
        <v>1972</v>
      </c>
      <c r="CS8" s="52">
        <v>110</v>
      </c>
      <c r="CT8" s="53" t="str">
        <f t="shared" si="4"/>
        <v>20210601</v>
      </c>
      <c r="CU8" s="54">
        <f t="shared" si="5"/>
        <v>1</v>
      </c>
      <c r="CV8" s="10">
        <f t="shared" si="1"/>
        <v>1</v>
      </c>
      <c r="CW8" s="34" t="s">
        <v>5</v>
      </c>
      <c r="CX8" s="34" t="s">
        <v>629</v>
      </c>
      <c r="CY8" s="40" t="s">
        <v>735</v>
      </c>
      <c r="CZ8" s="41" t="s">
        <v>625</v>
      </c>
      <c r="DA8" s="40"/>
      <c r="DB8" s="34" t="str">
        <f t="shared" si="3"/>
        <v>001</v>
      </c>
      <c r="DC8" s="81" t="s">
        <v>310</v>
      </c>
      <c r="DD8" s="96"/>
      <c r="DF8" s="64"/>
      <c r="DG8" s="64"/>
      <c r="DH8" s="73" t="s">
        <v>891</v>
      </c>
      <c r="DI8" s="74" t="s">
        <v>894</v>
      </c>
      <c r="DJ8" s="74" t="s">
        <v>929</v>
      </c>
      <c r="DK8" s="75" t="str">
        <f t="shared" si="2"/>
        <v>106022Y8</v>
      </c>
      <c r="DL8" s="78" t="s">
        <v>880</v>
      </c>
      <c r="DM8" s="76" t="s">
        <v>915</v>
      </c>
      <c r="DN8" s="226" t="str">
        <f>ASC(記入シート1!AV13)</f>
        <v>1</v>
      </c>
      <c r="DP8" s="359" t="s">
        <v>1250</v>
      </c>
      <c r="DQ8" s="359" t="s">
        <v>1121</v>
      </c>
      <c r="DR8" s="359" t="s">
        <v>1258</v>
      </c>
      <c r="DS8" s="359"/>
      <c r="DT8" s="359" t="s">
        <v>1260</v>
      </c>
      <c r="DU8" s="360"/>
      <c r="DX8" s="85"/>
      <c r="DY8" s="85"/>
    </row>
    <row r="9" spans="1:129" ht="19.5" customHeight="1" thickTop="1">
      <c r="B9" s="181" t="str">
        <f>IF(OR(AV8="NG",AV126="NG",AV150=0),"NG","OK")</f>
        <v>OK</v>
      </c>
      <c r="C9" s="111"/>
      <c r="D9" s="111"/>
      <c r="E9" s="111"/>
      <c r="F9" s="111"/>
      <c r="G9" s="111"/>
      <c r="H9" s="111"/>
      <c r="I9" s="111"/>
      <c r="J9" s="111"/>
      <c r="K9" s="111"/>
      <c r="L9" s="111"/>
      <c r="M9" s="111"/>
      <c r="N9" s="111"/>
      <c r="O9" s="111"/>
      <c r="P9" s="111"/>
      <c r="Q9" s="111"/>
      <c r="R9" s="111"/>
      <c r="S9" s="111"/>
      <c r="T9" s="111"/>
      <c r="U9" s="111"/>
      <c r="V9" s="111"/>
      <c r="W9" s="111"/>
      <c r="X9" s="111"/>
      <c r="Y9" s="111" t="s">
        <v>1968</v>
      </c>
      <c r="Z9" s="353"/>
      <c r="AA9" s="111"/>
      <c r="AB9" s="111"/>
      <c r="AC9" s="111"/>
      <c r="AD9" s="111"/>
      <c r="AE9" s="111"/>
      <c r="AF9" s="111"/>
      <c r="AG9" s="111"/>
      <c r="AH9" s="111"/>
      <c r="AI9" s="111"/>
      <c r="AJ9" s="111"/>
      <c r="AK9" s="111"/>
      <c r="AL9" s="111"/>
      <c r="AM9" s="111"/>
      <c r="AN9" s="111"/>
      <c r="AO9" s="111"/>
      <c r="AP9" s="111"/>
      <c r="AT9" s="186"/>
      <c r="AU9" s="167"/>
      <c r="AX9" s="90"/>
      <c r="BX9" s="2" t="s">
        <v>2000</v>
      </c>
      <c r="BZ9" s="583" t="s">
        <v>1309</v>
      </c>
      <c r="CA9" s="584" t="str">
        <f t="shared" si="0"/>
        <v>0510538</v>
      </c>
      <c r="CB9" s="585" t="s">
        <v>652</v>
      </c>
      <c r="CD9" s="108">
        <v>6039</v>
      </c>
      <c r="CE9" s="271" t="s">
        <v>3377</v>
      </c>
      <c r="CF9" s="108">
        <v>6039</v>
      </c>
      <c r="CH9" s="49" t="s">
        <v>785</v>
      </c>
      <c r="CI9" s="49" t="s">
        <v>21</v>
      </c>
      <c r="CJ9" s="49">
        <v>60</v>
      </c>
      <c r="CK9" s="49" t="s">
        <v>83</v>
      </c>
      <c r="CL9" s="49" t="s">
        <v>83</v>
      </c>
      <c r="CM9" s="57"/>
      <c r="CN9" s="58" t="s">
        <v>784</v>
      </c>
      <c r="CO9" s="50" t="s">
        <v>364</v>
      </c>
      <c r="CP9" s="51" t="str">
        <f>T(AI3)</f>
        <v/>
      </c>
      <c r="CQ9" s="2"/>
      <c r="CR9" s="52" t="s">
        <v>1974</v>
      </c>
      <c r="CS9" s="52">
        <v>111</v>
      </c>
      <c r="CT9" s="53" t="str">
        <f t="shared" si="4"/>
        <v>20210601</v>
      </c>
      <c r="CU9" s="54">
        <f t="shared" si="5"/>
        <v>1</v>
      </c>
      <c r="CV9" s="10">
        <f t="shared" si="1"/>
        <v>1</v>
      </c>
      <c r="CW9" s="34" t="s">
        <v>307</v>
      </c>
      <c r="CX9" s="34" t="s">
        <v>629</v>
      </c>
      <c r="CY9" s="40"/>
      <c r="CZ9" s="41"/>
      <c r="DA9" s="40" t="s">
        <v>707</v>
      </c>
      <c r="DB9" s="34" t="str">
        <f t="shared" si="3"/>
        <v>001</v>
      </c>
      <c r="DC9" s="81" t="s">
        <v>308</v>
      </c>
      <c r="DD9" s="96"/>
      <c r="DE9" s="64"/>
      <c r="DF9" s="64"/>
      <c r="DG9" s="64"/>
      <c r="DH9" s="73" t="s">
        <v>891</v>
      </c>
      <c r="DI9" s="74" t="s">
        <v>940</v>
      </c>
      <c r="DJ9" s="74"/>
      <c r="DK9" s="75" t="str">
        <f t="shared" si="2"/>
        <v>106022Y9</v>
      </c>
      <c r="DL9" s="78" t="s">
        <v>880</v>
      </c>
      <c r="DM9" s="76" t="s">
        <v>916</v>
      </c>
      <c r="DN9" s="226" t="str">
        <f>CONCATENATE(ASC(記入シート1!I76),"-",ASC(記入シート1!O76),"-",ASC(記入シート1!T76))</f>
        <v>--</v>
      </c>
      <c r="DP9" s="359" t="s">
        <v>1250</v>
      </c>
      <c r="DQ9" s="359" t="s">
        <v>1122</v>
      </c>
      <c r="DR9" s="359" t="s">
        <v>1258</v>
      </c>
      <c r="DS9" s="359"/>
      <c r="DT9" s="359" t="s">
        <v>1261</v>
      </c>
      <c r="DU9" s="360"/>
      <c r="DX9" s="85"/>
      <c r="DY9" s="85"/>
    </row>
    <row r="10" spans="1:129" ht="19.5" customHeight="1">
      <c r="B10" s="18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T10" s="168"/>
      <c r="AU10" s="167"/>
      <c r="BX10" s="2" t="s">
        <v>2001</v>
      </c>
      <c r="BZ10" s="583" t="s">
        <v>1346</v>
      </c>
      <c r="CA10" s="584" t="str">
        <f t="shared" si="0"/>
        <v>0518614</v>
      </c>
      <c r="CB10" s="585" t="s">
        <v>653</v>
      </c>
      <c r="CD10" s="108">
        <v>6040</v>
      </c>
      <c r="CE10" s="271" t="s">
        <v>3378</v>
      </c>
      <c r="CF10" s="108">
        <v>6040</v>
      </c>
      <c r="CH10" s="49" t="s">
        <v>370</v>
      </c>
      <c r="CI10" s="49" t="s">
        <v>63</v>
      </c>
      <c r="CJ10" s="49">
        <v>1</v>
      </c>
      <c r="CK10" s="49" t="s">
        <v>216</v>
      </c>
      <c r="CL10" s="49" t="s">
        <v>90</v>
      </c>
      <c r="CM10" s="49" t="s">
        <v>433</v>
      </c>
      <c r="CN10" s="49"/>
      <c r="CO10" s="50" t="s">
        <v>303</v>
      </c>
      <c r="CP10" s="51">
        <f>IF(記入シート1!AV18=TRUE,1,0)</f>
        <v>0</v>
      </c>
      <c r="CQ10" s="2"/>
      <c r="CR10" s="52" t="s">
        <v>2150</v>
      </c>
      <c r="CS10" s="52">
        <v>932</v>
      </c>
      <c r="CT10" s="53" t="str">
        <f t="shared" si="4"/>
        <v>20210601</v>
      </c>
      <c r="CU10" s="54">
        <f t="shared" si="5"/>
        <v>1</v>
      </c>
      <c r="CV10" s="10">
        <f t="shared" si="1"/>
        <v>1</v>
      </c>
      <c r="CW10" s="34" t="s">
        <v>301</v>
      </c>
      <c r="CX10" s="34" t="s">
        <v>698</v>
      </c>
      <c r="CY10" s="40" t="s">
        <v>736</v>
      </c>
      <c r="CZ10" s="41" t="s">
        <v>343</v>
      </c>
      <c r="DA10" s="40"/>
      <c r="DB10" s="34" t="str">
        <f t="shared" si="3"/>
        <v>001</v>
      </c>
      <c r="DC10" s="81" t="s">
        <v>302</v>
      </c>
      <c r="DD10" s="96"/>
      <c r="DE10" s="64"/>
      <c r="DF10" s="64"/>
      <c r="DG10" s="64"/>
      <c r="DH10" s="73" t="s">
        <v>891</v>
      </c>
      <c r="DI10" s="74" t="s">
        <v>895</v>
      </c>
      <c r="DJ10" s="38" t="s">
        <v>928</v>
      </c>
      <c r="DK10" s="75" t="str">
        <f t="shared" si="2"/>
        <v>106022YA</v>
      </c>
      <c r="DL10" s="78" t="s">
        <v>880</v>
      </c>
      <c r="DM10" s="76" t="s">
        <v>917</v>
      </c>
      <c r="DN10" s="624" t="str">
        <f>ASC(記入シート1!AX88)</f>
        <v>01</v>
      </c>
      <c r="DP10" s="359" t="s">
        <v>1250</v>
      </c>
      <c r="DQ10" s="359" t="s">
        <v>1123</v>
      </c>
      <c r="DR10" s="359" t="s">
        <v>1258</v>
      </c>
      <c r="DS10" s="359"/>
      <c r="DT10" s="359" t="s">
        <v>1262</v>
      </c>
      <c r="DU10" s="360"/>
      <c r="DX10" s="85"/>
      <c r="DY10" s="85"/>
    </row>
    <row r="11" spans="1:129" ht="19.5" customHeight="1">
      <c r="A11" s="111"/>
      <c r="B11" s="181"/>
      <c r="C11" s="134"/>
      <c r="D11" s="134"/>
      <c r="E11" s="134"/>
      <c r="F11" s="134"/>
      <c r="G11" s="134"/>
      <c r="H11" s="134"/>
      <c r="I11" s="134"/>
      <c r="J11" s="134"/>
      <c r="K11" s="134"/>
      <c r="L11" s="155"/>
      <c r="M11" s="1494" t="s">
        <v>844</v>
      </c>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c r="AU11" s="171"/>
      <c r="BX11" s="2" t="s">
        <v>2002</v>
      </c>
      <c r="BZ11" s="583" t="s">
        <v>1347</v>
      </c>
      <c r="CA11" s="584" t="str">
        <f t="shared" si="0"/>
        <v>0518623</v>
      </c>
      <c r="CB11" s="585" t="s">
        <v>654</v>
      </c>
      <c r="CD11" s="108">
        <v>6042</v>
      </c>
      <c r="CE11" s="271" t="s">
        <v>3379</v>
      </c>
      <c r="CF11" s="108">
        <v>6042</v>
      </c>
      <c r="CH11" s="55" t="s">
        <v>338</v>
      </c>
      <c r="CI11" s="55" t="s">
        <v>63</v>
      </c>
      <c r="CJ11" s="55">
        <v>2</v>
      </c>
      <c r="CK11" s="55" t="s">
        <v>216</v>
      </c>
      <c r="CL11" s="55" t="s">
        <v>90</v>
      </c>
      <c r="CM11" s="55" t="s">
        <v>590</v>
      </c>
      <c r="CN11" s="55" t="s">
        <v>340</v>
      </c>
      <c r="CO11" s="56" t="s">
        <v>341</v>
      </c>
      <c r="CP11" s="56" t="s">
        <v>334</v>
      </c>
      <c r="CQ11" s="2"/>
      <c r="CR11" s="52" t="s">
        <v>2151</v>
      </c>
      <c r="CS11" s="52">
        <v>931</v>
      </c>
      <c r="CT11" s="53" t="str">
        <f t="shared" si="4"/>
        <v>20210601</v>
      </c>
      <c r="CU11" s="54">
        <f t="shared" si="5"/>
        <v>1</v>
      </c>
      <c r="CV11" s="10">
        <f t="shared" si="1"/>
        <v>1</v>
      </c>
      <c r="CW11" s="34" t="s">
        <v>717</v>
      </c>
      <c r="CX11" s="34"/>
      <c r="CY11" s="40"/>
      <c r="CZ11" s="41"/>
      <c r="DA11" s="40"/>
      <c r="DB11" s="34" t="str">
        <f t="shared" si="3"/>
        <v>001</v>
      </c>
      <c r="DC11" s="81" t="s">
        <v>299</v>
      </c>
      <c r="DD11" s="96"/>
      <c r="DE11" s="64"/>
      <c r="DF11" s="64"/>
      <c r="DG11" s="64"/>
      <c r="DH11" s="73" t="s">
        <v>891</v>
      </c>
      <c r="DI11" s="74" t="s">
        <v>896</v>
      </c>
      <c r="DJ11" s="38"/>
      <c r="DK11" s="75" t="str">
        <f t="shared" si="2"/>
        <v>106022YB</v>
      </c>
      <c r="DL11" s="78" t="s">
        <v>880</v>
      </c>
      <c r="DM11" s="76" t="s">
        <v>918</v>
      </c>
      <c r="DN11" s="624" t="str">
        <f>LEFT(記入シート1!AY88,30)</f>
        <v/>
      </c>
      <c r="DP11" s="83" t="s">
        <v>1263</v>
      </c>
      <c r="DQ11" s="83" t="s">
        <v>1124</v>
      </c>
      <c r="DR11" s="83" t="s">
        <v>1112</v>
      </c>
      <c r="DS11" s="83" t="s">
        <v>1264</v>
      </c>
      <c r="DT11" s="50" t="s">
        <v>1125</v>
      </c>
      <c r="DU11" s="227">
        <f>IF(記入シート1!AV94=1,0,IF(記入シート1!AV94=2,1,""))</f>
        <v>0</v>
      </c>
      <c r="DX11" s="85"/>
      <c r="DY11" s="85"/>
    </row>
    <row r="12" spans="1:129" ht="19.5" customHeight="1" thickBot="1">
      <c r="A12" s="111"/>
      <c r="B12" s="181"/>
      <c r="C12" s="134"/>
      <c r="D12" s="134"/>
      <c r="E12" s="134"/>
      <c r="F12" s="134"/>
      <c r="G12" s="134"/>
      <c r="H12" s="134"/>
      <c r="I12" s="134"/>
      <c r="J12" s="134"/>
      <c r="K12" s="134"/>
      <c r="L12" s="155"/>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171"/>
      <c r="BX12" s="2" t="s">
        <v>2003</v>
      </c>
      <c r="BZ12" s="583" t="s">
        <v>1310</v>
      </c>
      <c r="CA12" s="584" t="str">
        <f t="shared" si="0"/>
        <v>0518669</v>
      </c>
      <c r="CB12" s="585" t="s">
        <v>1370</v>
      </c>
      <c r="CD12" s="108">
        <v>6044</v>
      </c>
      <c r="CE12" s="271" t="s">
        <v>3380</v>
      </c>
      <c r="CF12" s="108">
        <v>6044</v>
      </c>
      <c r="CH12" s="55" t="s">
        <v>332</v>
      </c>
      <c r="CI12" s="55" t="s">
        <v>63</v>
      </c>
      <c r="CJ12" s="55">
        <v>2</v>
      </c>
      <c r="CK12" s="55" t="s">
        <v>216</v>
      </c>
      <c r="CL12" s="55" t="s">
        <v>90</v>
      </c>
      <c r="CM12" s="55" t="s">
        <v>778</v>
      </c>
      <c r="CN12" s="55" t="s">
        <v>592</v>
      </c>
      <c r="CO12" s="56" t="s">
        <v>333</v>
      </c>
      <c r="CP12" s="56" t="s">
        <v>334</v>
      </c>
      <c r="CQ12" s="2"/>
      <c r="CR12" s="52" t="s">
        <v>938</v>
      </c>
      <c r="CS12" s="52">
        <v>935</v>
      </c>
      <c r="CT12" s="53" t="str">
        <f t="shared" si="4"/>
        <v>20210601</v>
      </c>
      <c r="CU12" s="54">
        <f t="shared" si="5"/>
        <v>1</v>
      </c>
      <c r="CV12" s="10">
        <f t="shared" si="1"/>
        <v>3</v>
      </c>
      <c r="CW12" s="34" t="s">
        <v>297</v>
      </c>
      <c r="CX12" s="34" t="s">
        <v>90</v>
      </c>
      <c r="CY12" s="40" t="s">
        <v>736</v>
      </c>
      <c r="CZ12" s="41" t="s">
        <v>349</v>
      </c>
      <c r="DA12" s="40" t="s">
        <v>626</v>
      </c>
      <c r="DB12" s="34" t="str">
        <f t="shared" si="3"/>
        <v>001</v>
      </c>
      <c r="DC12" s="81" t="s">
        <v>298</v>
      </c>
      <c r="DD12" s="96"/>
      <c r="DE12" s="64"/>
      <c r="DF12" s="64"/>
      <c r="DG12" s="64"/>
      <c r="DH12" s="73" t="s">
        <v>891</v>
      </c>
      <c r="DI12" s="74" t="s">
        <v>897</v>
      </c>
      <c r="DJ12" s="38" t="s">
        <v>624</v>
      </c>
      <c r="DK12" s="75" t="str">
        <f t="shared" si="2"/>
        <v>106022YC</v>
      </c>
      <c r="DL12" s="78" t="s">
        <v>880</v>
      </c>
      <c r="DM12" s="78" t="s">
        <v>919</v>
      </c>
      <c r="DN12" s="104">
        <f>IF(AV20=TRUE,1,0)</f>
        <v>0</v>
      </c>
      <c r="DP12" s="83" t="s">
        <v>1263</v>
      </c>
      <c r="DQ12" s="83" t="s">
        <v>1126</v>
      </c>
      <c r="DR12" s="83" t="s">
        <v>1112</v>
      </c>
      <c r="DS12" s="83" t="s">
        <v>1264</v>
      </c>
      <c r="DT12" s="50" t="s">
        <v>1127</v>
      </c>
      <c r="DU12" s="227">
        <f>IF(記入シート1!AW94=1,0,IF(記入シート1!AW94=2,1,""))</f>
        <v>0</v>
      </c>
      <c r="DX12" s="85"/>
      <c r="DY12" s="85"/>
    </row>
    <row r="13" spans="1:129" ht="19.5" customHeight="1" thickTop="1">
      <c r="A13" s="111"/>
      <c r="B13" s="181"/>
      <c r="C13" s="1228" t="s">
        <v>449</v>
      </c>
      <c r="D13" s="1229"/>
      <c r="E13" s="1229"/>
      <c r="F13" s="1229"/>
      <c r="G13" s="1229"/>
      <c r="H13" s="1229"/>
      <c r="I13" s="1230"/>
      <c r="J13" s="2190" t="s">
        <v>845</v>
      </c>
      <c r="K13" s="1229"/>
      <c r="L13" s="2388" t="s">
        <v>846</v>
      </c>
      <c r="M13" s="2389"/>
      <c r="N13" s="2390"/>
      <c r="O13" s="2394" t="s">
        <v>1059</v>
      </c>
      <c r="P13" s="2395"/>
      <c r="Q13" s="2394" t="s">
        <v>2047</v>
      </c>
      <c r="R13" s="2398"/>
      <c r="S13" s="2398"/>
      <c r="T13" s="2395"/>
      <c r="U13" s="2394" t="s">
        <v>2048</v>
      </c>
      <c r="V13" s="2398"/>
      <c r="W13" s="2398"/>
      <c r="X13" s="2395"/>
      <c r="Y13" s="2394" t="s">
        <v>2049</v>
      </c>
      <c r="Z13" s="2398"/>
      <c r="AA13" s="2398"/>
      <c r="AB13" s="2395"/>
      <c r="AC13" s="2394" t="s">
        <v>2050</v>
      </c>
      <c r="AD13" s="2398"/>
      <c r="AE13" s="2398"/>
      <c r="AF13" s="2395"/>
      <c r="AG13" s="2394" t="s">
        <v>2051</v>
      </c>
      <c r="AH13" s="2398"/>
      <c r="AI13" s="2398"/>
      <c r="AJ13" s="2395"/>
      <c r="AK13" s="2400" t="s">
        <v>2052</v>
      </c>
      <c r="AL13" s="2401"/>
      <c r="AM13" s="2401"/>
      <c r="AN13" s="2401"/>
      <c r="AO13" s="2401"/>
      <c r="AP13" s="2401"/>
      <c r="AQ13" s="2401"/>
      <c r="AR13" s="2401"/>
      <c r="AS13" s="2401"/>
      <c r="AT13" s="2402"/>
      <c r="AU13" s="171"/>
      <c r="BX13" s="2" t="s">
        <v>2004</v>
      </c>
      <c r="BZ13" s="583" t="s">
        <v>1348</v>
      </c>
      <c r="CA13" s="584" t="str">
        <f t="shared" si="0"/>
        <v>0522770</v>
      </c>
      <c r="CB13" s="585" t="s">
        <v>655</v>
      </c>
      <c r="CD13" s="108">
        <v>6045</v>
      </c>
      <c r="CE13" s="108" t="s">
        <v>3381</v>
      </c>
      <c r="CF13" s="108">
        <v>6045</v>
      </c>
      <c r="CH13" s="49" t="s">
        <v>300</v>
      </c>
      <c r="CI13" s="49" t="s">
        <v>63</v>
      </c>
      <c r="CJ13" s="49">
        <v>8</v>
      </c>
      <c r="CK13" s="49" t="s">
        <v>216</v>
      </c>
      <c r="CL13" s="49" t="s">
        <v>90</v>
      </c>
      <c r="CM13" s="49"/>
      <c r="CN13" s="49"/>
      <c r="CO13" s="50" t="s">
        <v>372</v>
      </c>
      <c r="CP13" s="51" t="str">
        <f>RIGHT("0000"&amp;L8,4)&amp;RIGHT("00"&amp;P8,2)&amp;RIGHT("00"&amp;T8,2)</f>
        <v>20210401</v>
      </c>
      <c r="CQ13" s="2"/>
      <c r="CR13" s="52" t="s">
        <v>2152</v>
      </c>
      <c r="CS13" s="52">
        <v>936</v>
      </c>
      <c r="CT13" s="53" t="str">
        <f t="shared" si="4"/>
        <v>20210601</v>
      </c>
      <c r="CU13" s="54">
        <f t="shared" si="5"/>
        <v>1</v>
      </c>
      <c r="CV13" s="10">
        <f t="shared" si="1"/>
        <v>1</v>
      </c>
      <c r="CW13" s="34" t="s">
        <v>294</v>
      </c>
      <c r="CX13" s="34" t="s">
        <v>90</v>
      </c>
      <c r="CY13" s="40" t="s">
        <v>736</v>
      </c>
      <c r="CZ13" s="41" t="s">
        <v>343</v>
      </c>
      <c r="DA13" s="40" t="s">
        <v>626</v>
      </c>
      <c r="DB13" s="34" t="str">
        <f t="shared" si="3"/>
        <v>001</v>
      </c>
      <c r="DC13" s="81" t="s">
        <v>295</v>
      </c>
      <c r="DD13" s="96"/>
      <c r="DE13" s="64"/>
      <c r="DF13" s="64"/>
      <c r="DG13" s="64"/>
      <c r="DH13" s="73" t="s">
        <v>891</v>
      </c>
      <c r="DI13" s="74" t="s">
        <v>898</v>
      </c>
      <c r="DJ13" s="38" t="s">
        <v>624</v>
      </c>
      <c r="DK13" s="75" t="str">
        <f t="shared" si="2"/>
        <v>106022YD</v>
      </c>
      <c r="DL13" s="78" t="s">
        <v>880</v>
      </c>
      <c r="DM13" s="78" t="s">
        <v>920</v>
      </c>
      <c r="DN13" s="104">
        <f>IF(AV21=TRUE,1,0)</f>
        <v>0</v>
      </c>
      <c r="DO13" s="18"/>
      <c r="DP13" s="83" t="s">
        <v>1263</v>
      </c>
      <c r="DQ13" s="83" t="s">
        <v>1128</v>
      </c>
      <c r="DR13" s="83" t="s">
        <v>1112</v>
      </c>
      <c r="DS13" s="83" t="s">
        <v>1264</v>
      </c>
      <c r="DT13" s="50" t="s">
        <v>1129</v>
      </c>
      <c r="DU13" s="227">
        <f>IF(記入シート1!AX94=1,0,IF(記入シート1!AX94=2,1,""))</f>
        <v>0</v>
      </c>
      <c r="DX13" s="85"/>
      <c r="DY13" s="85"/>
    </row>
    <row r="14" spans="1:129" ht="19.5" customHeight="1">
      <c r="A14" s="111"/>
      <c r="B14" s="181"/>
      <c r="C14" s="1200"/>
      <c r="D14" s="1201"/>
      <c r="E14" s="1201"/>
      <c r="F14" s="1201"/>
      <c r="G14" s="1201"/>
      <c r="H14" s="1201"/>
      <c r="I14" s="1202"/>
      <c r="J14" s="1280"/>
      <c r="K14" s="1201"/>
      <c r="L14" s="2391"/>
      <c r="M14" s="2392"/>
      <c r="N14" s="2393"/>
      <c r="O14" s="2396"/>
      <c r="P14" s="2397"/>
      <c r="Q14" s="2396"/>
      <c r="R14" s="2399"/>
      <c r="S14" s="2399"/>
      <c r="T14" s="2397"/>
      <c r="U14" s="2396"/>
      <c r="V14" s="2399"/>
      <c r="W14" s="2399"/>
      <c r="X14" s="2397"/>
      <c r="Y14" s="2396"/>
      <c r="Z14" s="2399"/>
      <c r="AA14" s="2399"/>
      <c r="AB14" s="2397"/>
      <c r="AC14" s="2396"/>
      <c r="AD14" s="2399"/>
      <c r="AE14" s="2399"/>
      <c r="AF14" s="2397"/>
      <c r="AG14" s="2396"/>
      <c r="AH14" s="2399"/>
      <c r="AI14" s="2399"/>
      <c r="AJ14" s="2397"/>
      <c r="AK14" s="2403"/>
      <c r="AL14" s="2404"/>
      <c r="AM14" s="2404"/>
      <c r="AN14" s="2404"/>
      <c r="AO14" s="2404"/>
      <c r="AP14" s="2404"/>
      <c r="AQ14" s="2404"/>
      <c r="AR14" s="2404"/>
      <c r="AS14" s="2404"/>
      <c r="AT14" s="2405"/>
      <c r="AU14" s="171"/>
      <c r="AY14" s="392" t="s">
        <v>450</v>
      </c>
      <c r="AZ14" s="209" t="s">
        <v>909</v>
      </c>
      <c r="BX14" s="2" t="s">
        <v>2005</v>
      </c>
      <c r="BZ14" s="583" t="s">
        <v>1349</v>
      </c>
      <c r="CA14" s="584" t="str">
        <f t="shared" si="0"/>
        <v>0524381</v>
      </c>
      <c r="CB14" s="585" t="s">
        <v>656</v>
      </c>
      <c r="CD14" s="108">
        <v>6048</v>
      </c>
      <c r="CE14" s="108" t="s">
        <v>3382</v>
      </c>
      <c r="CF14" s="108">
        <v>6048</v>
      </c>
      <c r="CH14" s="49" t="s">
        <v>941</v>
      </c>
      <c r="CI14" s="49" t="s">
        <v>63</v>
      </c>
      <c r="CJ14" s="49">
        <v>8</v>
      </c>
      <c r="CK14" s="49" t="s">
        <v>216</v>
      </c>
      <c r="CL14" s="49" t="s">
        <v>90</v>
      </c>
      <c r="CM14" s="49"/>
      <c r="CN14" s="49"/>
      <c r="CO14" s="50" t="s">
        <v>581</v>
      </c>
      <c r="CP14" s="51" t="str">
        <f>RIGHT("0000"&amp;AH8,4)&amp;RIGHT("00"&amp;AL8,2)&amp;RIGHT("00"&amp;AP8,2)</f>
        <v>20210601</v>
      </c>
      <c r="CQ14" s="2"/>
      <c r="CR14" s="52" t="s">
        <v>2244</v>
      </c>
      <c r="CS14" s="52">
        <v>937</v>
      </c>
      <c r="CT14" s="53" t="str">
        <f t="shared" si="4"/>
        <v>20210601</v>
      </c>
      <c r="CU14" s="54">
        <f t="shared" si="5"/>
        <v>1</v>
      </c>
      <c r="CV14" s="10">
        <f t="shared" si="1"/>
        <v>1</v>
      </c>
      <c r="CW14" s="34" t="s">
        <v>293</v>
      </c>
      <c r="CX14" s="34" t="s">
        <v>90</v>
      </c>
      <c r="CY14" s="40" t="s">
        <v>736</v>
      </c>
      <c r="CZ14" s="41" t="s">
        <v>343</v>
      </c>
      <c r="DA14" s="40" t="s">
        <v>627</v>
      </c>
      <c r="DB14" s="34" t="str">
        <f t="shared" si="3"/>
        <v>001</v>
      </c>
      <c r="DC14" s="81" t="s">
        <v>751</v>
      </c>
      <c r="DD14" s="96"/>
      <c r="DE14" s="64"/>
      <c r="DF14" s="64"/>
      <c r="DG14" s="64"/>
      <c r="DH14" s="73" t="s">
        <v>891</v>
      </c>
      <c r="DI14" s="105" t="s">
        <v>899</v>
      </c>
      <c r="DJ14" s="38" t="s">
        <v>624</v>
      </c>
      <c r="DK14" s="75" t="str">
        <f t="shared" si="2"/>
        <v>106022YE</v>
      </c>
      <c r="DL14" s="78" t="s">
        <v>880</v>
      </c>
      <c r="DM14" s="76" t="s">
        <v>921</v>
      </c>
      <c r="DN14" s="104">
        <f>IF(AV22=TRUE,1,0)</f>
        <v>0</v>
      </c>
      <c r="DO14" s="18"/>
      <c r="DP14" s="83" t="s">
        <v>1263</v>
      </c>
      <c r="DQ14" s="83" t="s">
        <v>1130</v>
      </c>
      <c r="DR14" s="83" t="s">
        <v>1112</v>
      </c>
      <c r="DS14" s="83" t="s">
        <v>1264</v>
      </c>
      <c r="DT14" s="50" t="s">
        <v>1131</v>
      </c>
      <c r="DU14" s="227">
        <f>IF(記入シート1!AV96=1,0,IF(記入シート1!AV96=2,1,""))</f>
        <v>0</v>
      </c>
      <c r="DX14" s="85"/>
      <c r="DY14" s="85"/>
    </row>
    <row r="15" spans="1:129" ht="19.5" customHeight="1">
      <c r="A15" s="111"/>
      <c r="B15" s="181"/>
      <c r="C15" s="2183" t="s">
        <v>453</v>
      </c>
      <c r="D15" s="2184"/>
      <c r="E15" s="2184"/>
      <c r="F15" s="2184"/>
      <c r="G15" s="2184"/>
      <c r="H15" s="2184"/>
      <c r="I15" s="2184"/>
      <c r="J15" s="374"/>
      <c r="K15" s="735"/>
      <c r="L15" s="738"/>
      <c r="M15" s="739"/>
      <c r="N15" s="735"/>
      <c r="O15" s="735"/>
      <c r="P15" s="735"/>
      <c r="Q15" s="735"/>
      <c r="R15" s="735"/>
      <c r="S15" s="735"/>
      <c r="T15" s="735"/>
      <c r="U15" s="740"/>
      <c r="V15" s="775"/>
      <c r="W15" s="775"/>
      <c r="X15" s="775"/>
      <c r="Y15" s="775"/>
      <c r="Z15" s="775"/>
      <c r="AA15" s="776"/>
      <c r="AB15" s="776"/>
      <c r="AC15" s="776"/>
      <c r="AD15" s="776"/>
      <c r="AE15" s="776"/>
      <c r="AF15" s="777"/>
      <c r="AG15" s="777"/>
      <c r="AH15" s="777"/>
      <c r="AI15" s="777"/>
      <c r="AJ15" s="777"/>
      <c r="AK15" s="2420" t="s">
        <v>5502</v>
      </c>
      <c r="AL15" s="2421"/>
      <c r="AM15" s="2421"/>
      <c r="AN15" s="2421"/>
      <c r="AO15" s="2422"/>
      <c r="AP15" s="2422"/>
      <c r="AQ15" s="2422"/>
      <c r="AR15" s="2422"/>
      <c r="AS15" s="2422"/>
      <c r="AT15" s="2423"/>
      <c r="AU15" s="171"/>
      <c r="AY15" s="236"/>
      <c r="AZ15" s="88"/>
      <c r="BX15" s="2" t="s">
        <v>2006</v>
      </c>
      <c r="BZ15" s="583" t="s">
        <v>1311</v>
      </c>
      <c r="CA15" s="584" t="str">
        <f t="shared" si="0"/>
        <v>0524934</v>
      </c>
      <c r="CB15" s="585" t="s">
        <v>657</v>
      </c>
      <c r="CD15" s="108"/>
      <c r="CE15" s="108"/>
      <c r="CF15" s="108"/>
      <c r="CH15" s="59" t="s">
        <v>597</v>
      </c>
      <c r="CI15" s="59"/>
      <c r="CJ15" s="59"/>
      <c r="CK15" s="59"/>
      <c r="CL15" s="59"/>
      <c r="CM15" s="59"/>
      <c r="CN15" s="59"/>
      <c r="CO15" s="10"/>
      <c r="CP15" s="43"/>
      <c r="CQ15" s="10"/>
      <c r="CR15" s="52" t="s">
        <v>2153</v>
      </c>
      <c r="CS15" s="52">
        <v>938</v>
      </c>
      <c r="CT15" s="53" t="str">
        <f t="shared" si="4"/>
        <v>20210601</v>
      </c>
      <c r="CU15" s="54">
        <f t="shared" si="5"/>
        <v>1</v>
      </c>
      <c r="CV15" s="10">
        <f t="shared" si="1"/>
        <v>1</v>
      </c>
      <c r="CW15" s="34" t="s">
        <v>290</v>
      </c>
      <c r="CX15" s="34" t="s">
        <v>629</v>
      </c>
      <c r="CY15" s="95"/>
      <c r="CZ15" s="40" t="s">
        <v>359</v>
      </c>
      <c r="DA15" s="40"/>
      <c r="DB15" s="34" t="str">
        <f t="shared" si="3"/>
        <v>001</v>
      </c>
      <c r="DC15" s="81" t="s">
        <v>291</v>
      </c>
      <c r="DD15" s="96"/>
      <c r="DE15" s="64"/>
      <c r="DF15" s="64"/>
      <c r="DG15" s="64"/>
      <c r="DH15" s="73" t="s">
        <v>891</v>
      </c>
      <c r="DI15" s="74" t="s">
        <v>174</v>
      </c>
      <c r="DJ15" s="38" t="s">
        <v>624</v>
      </c>
      <c r="DK15" s="75" t="str">
        <f t="shared" si="2"/>
        <v>106022YF</v>
      </c>
      <c r="DL15" s="78" t="s">
        <v>880</v>
      </c>
      <c r="DM15" s="76" t="s">
        <v>922</v>
      </c>
      <c r="DN15" s="104">
        <f>IF(AV23=TRUE,1,0)</f>
        <v>0</v>
      </c>
      <c r="DO15" s="18"/>
      <c r="DP15" s="83" t="s">
        <v>1263</v>
      </c>
      <c r="DQ15" s="83" t="s">
        <v>1132</v>
      </c>
      <c r="DR15" s="83" t="s">
        <v>1112</v>
      </c>
      <c r="DS15" s="83" t="s">
        <v>1264</v>
      </c>
      <c r="DT15" s="50" t="s">
        <v>1133</v>
      </c>
      <c r="DU15" s="227">
        <f>IF(記入シート1!AW96=1,0,IF(記入シート1!AW96=2,1,""))</f>
        <v>0</v>
      </c>
      <c r="DX15" s="85"/>
      <c r="DY15" s="85"/>
    </row>
    <row r="16" spans="1:129" ht="19.5" customHeight="1">
      <c r="A16" s="111"/>
      <c r="B16" s="181"/>
      <c r="C16" s="2292" t="s">
        <v>4880</v>
      </c>
      <c r="D16" s="2293"/>
      <c r="E16" s="2293"/>
      <c r="F16" s="2293"/>
      <c r="G16" s="2293"/>
      <c r="H16" s="2293"/>
      <c r="I16" s="2294"/>
      <c r="J16" s="765"/>
      <c r="K16" s="766"/>
      <c r="L16" s="2406" t="s">
        <v>642</v>
      </c>
      <c r="M16" s="2407"/>
      <c r="N16" s="2408"/>
      <c r="O16" s="2337" t="s">
        <v>1071</v>
      </c>
      <c r="P16" s="2338"/>
      <c r="Q16" s="2339">
        <v>0</v>
      </c>
      <c r="R16" s="2340"/>
      <c r="S16" s="2340"/>
      <c r="T16" s="2341"/>
      <c r="U16" s="2342">
        <v>0</v>
      </c>
      <c r="V16" s="2343"/>
      <c r="W16" s="2343"/>
      <c r="X16" s="2344"/>
      <c r="Y16" s="2301">
        <v>3.2399999999999998E-2</v>
      </c>
      <c r="Z16" s="2301"/>
      <c r="AA16" s="2301"/>
      <c r="AB16" s="2301"/>
      <c r="AC16" s="2301">
        <v>0</v>
      </c>
      <c r="AD16" s="2301"/>
      <c r="AE16" s="2301"/>
      <c r="AF16" s="2301"/>
      <c r="AG16" s="2300">
        <v>0</v>
      </c>
      <c r="AH16" s="2300"/>
      <c r="AI16" s="2300"/>
      <c r="AJ16" s="2300"/>
      <c r="AK16" s="734" t="s">
        <v>5497</v>
      </c>
      <c r="AL16" s="735"/>
      <c r="AM16" s="735"/>
      <c r="AN16" s="735"/>
      <c r="AO16" s="735"/>
      <c r="AP16" s="735"/>
      <c r="AQ16" s="735"/>
      <c r="AR16" s="735"/>
      <c r="AS16" s="735"/>
      <c r="AT16" s="736"/>
      <c r="AU16" s="171"/>
      <c r="BL16" s="12">
        <f>COLUMN(Q14)</f>
        <v>17</v>
      </c>
      <c r="BM16" s="12">
        <f>COLUMN(U146)</f>
        <v>21</v>
      </c>
      <c r="BN16" s="12">
        <f>COLUMN(Y14)</f>
        <v>25</v>
      </c>
      <c r="BO16" s="12">
        <f>COLUMN(AC14)</f>
        <v>29</v>
      </c>
      <c r="BP16" s="12">
        <f>COLUMN(AG14)</f>
        <v>33</v>
      </c>
      <c r="BX16" s="2" t="s">
        <v>2007</v>
      </c>
      <c r="BZ16" s="583" t="s">
        <v>1312</v>
      </c>
      <c r="CA16" s="584" t="str">
        <f t="shared" si="0"/>
        <v>0525735</v>
      </c>
      <c r="CB16" s="585" t="s">
        <v>658</v>
      </c>
      <c r="CD16" s="108"/>
      <c r="CE16" s="108"/>
      <c r="CF16" s="108"/>
      <c r="CH16" s="46" t="s">
        <v>323</v>
      </c>
      <c r="CI16" s="47" t="s">
        <v>586</v>
      </c>
      <c r="CJ16" s="47" t="s">
        <v>321</v>
      </c>
      <c r="CK16" s="46" t="s">
        <v>320</v>
      </c>
      <c r="CL16" s="46" t="s">
        <v>587</v>
      </c>
      <c r="CM16" s="46" t="s">
        <v>326</v>
      </c>
      <c r="CN16" s="46" t="s">
        <v>327</v>
      </c>
      <c r="CO16" s="46" t="s">
        <v>376</v>
      </c>
      <c r="CP16" s="46" t="s">
        <v>328</v>
      </c>
      <c r="CQ16" s="2"/>
      <c r="CR16" s="52" t="s">
        <v>2154</v>
      </c>
      <c r="CS16" s="52">
        <v>939</v>
      </c>
      <c r="CT16" s="53" t="str">
        <f t="shared" si="4"/>
        <v>20210601</v>
      </c>
      <c r="CU16" s="54">
        <f t="shared" si="5"/>
        <v>1</v>
      </c>
      <c r="CV16" s="10">
        <f t="shared" si="1"/>
        <v>1</v>
      </c>
      <c r="CW16" s="34" t="s">
        <v>288</v>
      </c>
      <c r="CX16" s="34" t="s">
        <v>90</v>
      </c>
      <c r="CY16" s="40" t="s">
        <v>736</v>
      </c>
      <c r="CZ16" s="41" t="s">
        <v>343</v>
      </c>
      <c r="DA16" s="40" t="s">
        <v>627</v>
      </c>
      <c r="DB16" s="34" t="str">
        <f t="shared" si="3"/>
        <v>001</v>
      </c>
      <c r="DC16" s="81" t="s">
        <v>289</v>
      </c>
      <c r="DD16" s="96"/>
      <c r="DE16" s="64"/>
      <c r="DF16" s="64"/>
      <c r="DG16" s="64"/>
      <c r="DH16" s="73" t="s">
        <v>891</v>
      </c>
      <c r="DI16" s="74" t="s">
        <v>900</v>
      </c>
      <c r="DJ16" s="38" t="s">
        <v>904</v>
      </c>
      <c r="DK16" s="75" t="str">
        <f t="shared" si="2"/>
        <v>106022YG</v>
      </c>
      <c r="DL16" s="78" t="s">
        <v>880</v>
      </c>
      <c r="DM16" s="76" t="s">
        <v>923</v>
      </c>
      <c r="DN16" s="227">
        <f>IF(AV89=TRUE,1,0)</f>
        <v>0</v>
      </c>
      <c r="DO16" s="18"/>
      <c r="DP16" s="83" t="s">
        <v>1263</v>
      </c>
      <c r="DQ16" s="83" t="s">
        <v>1134</v>
      </c>
      <c r="DR16" s="83" t="s">
        <v>1112</v>
      </c>
      <c r="DS16" s="83" t="s">
        <v>1264</v>
      </c>
      <c r="DT16" s="50" t="s">
        <v>1135</v>
      </c>
      <c r="DU16" s="227">
        <f>IF(記入シート1!AX96=1,0,IF(記入シート1!AX96=2,1,""))</f>
        <v>0</v>
      </c>
      <c r="DX16" s="85"/>
      <c r="DY16" s="85"/>
    </row>
    <row r="17" spans="1:129" ht="19.5" customHeight="1">
      <c r="A17" s="111"/>
      <c r="B17" s="181"/>
      <c r="C17" s="2292" t="s">
        <v>911</v>
      </c>
      <c r="D17" s="2293"/>
      <c r="E17" s="2293"/>
      <c r="F17" s="2293"/>
      <c r="G17" s="2293"/>
      <c r="H17" s="2293"/>
      <c r="I17" s="2294"/>
      <c r="J17" s="737"/>
      <c r="K17" s="737"/>
      <c r="L17" s="2406" t="s">
        <v>642</v>
      </c>
      <c r="M17" s="2407"/>
      <c r="N17" s="2408"/>
      <c r="O17" s="2337" t="s">
        <v>1071</v>
      </c>
      <c r="P17" s="2338"/>
      <c r="Q17" s="2339">
        <v>0</v>
      </c>
      <c r="R17" s="2340"/>
      <c r="S17" s="2340"/>
      <c r="T17" s="2341"/>
      <c r="U17" s="2342">
        <v>0</v>
      </c>
      <c r="V17" s="2343"/>
      <c r="W17" s="2343"/>
      <c r="X17" s="2344"/>
      <c r="Y17" s="2301">
        <v>3.2399999999999998E-2</v>
      </c>
      <c r="Z17" s="2301"/>
      <c r="AA17" s="2301"/>
      <c r="AB17" s="2301"/>
      <c r="AC17" s="2301">
        <v>0</v>
      </c>
      <c r="AD17" s="2301"/>
      <c r="AE17" s="2301"/>
      <c r="AF17" s="2301"/>
      <c r="AG17" s="2300">
        <v>0</v>
      </c>
      <c r="AH17" s="2300"/>
      <c r="AI17" s="2300"/>
      <c r="AJ17" s="2300"/>
      <c r="AK17" s="2424" t="s">
        <v>5498</v>
      </c>
      <c r="AL17" s="2425"/>
      <c r="AM17" s="2425"/>
      <c r="AN17" s="2425"/>
      <c r="AO17" s="2425"/>
      <c r="AP17" s="111"/>
      <c r="AQ17" s="735"/>
      <c r="AR17" s="735"/>
      <c r="AS17" s="111"/>
      <c r="AT17" s="154"/>
      <c r="AU17" s="171"/>
      <c r="AV17" s="151" t="b">
        <v>1</v>
      </c>
      <c r="AX17" s="86"/>
      <c r="AY17" s="91" t="s">
        <v>7</v>
      </c>
      <c r="AZ17" s="91" t="s">
        <v>454</v>
      </c>
      <c r="BA17" s="16" t="s">
        <v>908</v>
      </c>
      <c r="BB17" s="16" t="s">
        <v>0</v>
      </c>
      <c r="BC17" s="16" t="s">
        <v>455</v>
      </c>
      <c r="BD17" s="16" t="s">
        <v>975</v>
      </c>
      <c r="BE17" s="16"/>
      <c r="BF17" s="16"/>
      <c r="BG17" s="16"/>
      <c r="BH17" s="16"/>
      <c r="BI17" s="10" t="s">
        <v>456</v>
      </c>
      <c r="BJ17" s="10" t="s">
        <v>457</v>
      </c>
      <c r="BK17" s="10" t="s">
        <v>458</v>
      </c>
      <c r="BL17" s="13" t="s">
        <v>973</v>
      </c>
      <c r="BM17" s="16" t="s">
        <v>974</v>
      </c>
      <c r="BN17" s="13" t="s">
        <v>459</v>
      </c>
      <c r="BO17" s="13" t="s">
        <v>460</v>
      </c>
      <c r="BP17" s="13" t="s">
        <v>461</v>
      </c>
      <c r="BR17" s="16" t="s">
        <v>7</v>
      </c>
      <c r="BX17" s="9" t="s">
        <v>2008</v>
      </c>
      <c r="BY17" s="9"/>
      <c r="BZ17" s="583" t="s">
        <v>1313</v>
      </c>
      <c r="CA17" s="584" t="str">
        <f t="shared" si="0"/>
        <v>1202892</v>
      </c>
      <c r="CB17" s="585" t="s">
        <v>1371</v>
      </c>
      <c r="CD17" s="108"/>
      <c r="CE17" s="108"/>
      <c r="CF17" s="108"/>
      <c r="CH17" s="49" t="s">
        <v>284</v>
      </c>
      <c r="CI17" s="49" t="s">
        <v>22</v>
      </c>
      <c r="CJ17" s="49">
        <v>60</v>
      </c>
      <c r="CK17" s="49" t="s">
        <v>216</v>
      </c>
      <c r="CL17" s="49" t="s">
        <v>90</v>
      </c>
      <c r="CM17" s="49"/>
      <c r="CN17" s="49"/>
      <c r="CO17" s="50" t="s">
        <v>283</v>
      </c>
      <c r="CP17" s="51" t="str">
        <f>ASC(SUBSTITUTE(SUBSTITUTE(記入シート1!I27,"ヴ","ウﾞ"),"・",""))</f>
        <v/>
      </c>
      <c r="CQ17" s="2"/>
      <c r="CR17" s="52" t="s">
        <v>2155</v>
      </c>
      <c r="CS17" s="52">
        <v>940</v>
      </c>
      <c r="CT17" s="53" t="str">
        <f t="shared" si="4"/>
        <v>20210601</v>
      </c>
      <c r="CU17" s="54">
        <f t="shared" si="5"/>
        <v>0</v>
      </c>
      <c r="CV17" s="10">
        <f t="shared" si="1"/>
        <v>0</v>
      </c>
      <c r="CW17" s="34" t="s">
        <v>285</v>
      </c>
      <c r="CX17" s="34" t="s">
        <v>629</v>
      </c>
      <c r="CY17" s="40" t="s">
        <v>736</v>
      </c>
      <c r="CZ17" s="41" t="s">
        <v>343</v>
      </c>
      <c r="DA17" s="40"/>
      <c r="DB17" s="34" t="str">
        <f t="shared" si="3"/>
        <v>001</v>
      </c>
      <c r="DC17" s="81" t="s">
        <v>286</v>
      </c>
      <c r="DD17" s="96"/>
      <c r="DE17" s="64"/>
      <c r="DF17" s="64"/>
      <c r="DG17" s="64"/>
      <c r="DH17" s="435" t="s">
        <v>891</v>
      </c>
      <c r="DI17" s="105" t="s">
        <v>1899</v>
      </c>
      <c r="DJ17" s="38"/>
      <c r="DK17" s="75" t="str">
        <f t="shared" si="2"/>
        <v>106022YH</v>
      </c>
      <c r="DL17" s="78" t="s">
        <v>880</v>
      </c>
      <c r="DM17" s="76" t="s">
        <v>924</v>
      </c>
      <c r="DN17" s="227" t="str">
        <f>ASC(AA126)</f>
        <v>1</v>
      </c>
      <c r="DO17" s="18"/>
      <c r="DP17" s="83" t="s">
        <v>1263</v>
      </c>
      <c r="DQ17" s="83" t="s">
        <v>1136</v>
      </c>
      <c r="DR17" s="83" t="s">
        <v>1112</v>
      </c>
      <c r="DS17" s="83" t="s">
        <v>1265</v>
      </c>
      <c r="DT17" s="359" t="s">
        <v>1266</v>
      </c>
      <c r="DU17" s="361"/>
      <c r="DX17" s="85"/>
      <c r="DY17" s="85"/>
    </row>
    <row r="18" spans="1:129" ht="19.5" customHeight="1" thickBot="1">
      <c r="A18" s="111"/>
      <c r="B18" s="181"/>
      <c r="C18" s="2322" t="s">
        <v>5020</v>
      </c>
      <c r="D18" s="2323"/>
      <c r="E18" s="2323"/>
      <c r="F18" s="2323"/>
      <c r="G18" s="2323"/>
      <c r="H18" s="2323"/>
      <c r="I18" s="2324"/>
      <c r="J18" s="715"/>
      <c r="K18" s="735"/>
      <c r="L18" s="2325" t="s">
        <v>642</v>
      </c>
      <c r="M18" s="2326"/>
      <c r="N18" s="2327"/>
      <c r="O18" s="2378" t="s">
        <v>1071</v>
      </c>
      <c r="P18" s="2379"/>
      <c r="Q18" s="2331">
        <v>0</v>
      </c>
      <c r="R18" s="2332"/>
      <c r="S18" s="2332"/>
      <c r="T18" s="2333"/>
      <c r="U18" s="2334">
        <v>0</v>
      </c>
      <c r="V18" s="2335"/>
      <c r="W18" s="2335"/>
      <c r="X18" s="2336"/>
      <c r="Y18" s="2347">
        <v>0</v>
      </c>
      <c r="Z18" s="2347"/>
      <c r="AA18" s="2347"/>
      <c r="AB18" s="2347"/>
      <c r="AC18" s="2347">
        <v>0</v>
      </c>
      <c r="AD18" s="2347"/>
      <c r="AE18" s="2347"/>
      <c r="AF18" s="2347"/>
      <c r="AG18" s="2348">
        <v>0</v>
      </c>
      <c r="AH18" s="2348"/>
      <c r="AI18" s="2348"/>
      <c r="AJ18" s="2348"/>
      <c r="AK18" s="2318" t="s">
        <v>3656</v>
      </c>
      <c r="AL18" s="2319"/>
      <c r="AM18" s="2319"/>
      <c r="AN18" s="2319"/>
      <c r="AO18" s="2319"/>
      <c r="AP18" s="2380" t="s">
        <v>3651</v>
      </c>
      <c r="AQ18" s="2380"/>
      <c r="AR18" s="2380"/>
      <c r="AS18" s="2368" t="s">
        <v>3652</v>
      </c>
      <c r="AT18" s="2369"/>
      <c r="AU18" s="171"/>
      <c r="AV18" s="377" t="b">
        <v>1</v>
      </c>
      <c r="AW18" s="107">
        <f>IF(AV18=TRUE,AV18*1,0)</f>
        <v>1</v>
      </c>
      <c r="AX18" s="107" t="str">
        <f>IF(AV18=TRUE,"VM","")</f>
        <v>VM</v>
      </c>
      <c r="AY18" s="92" t="str">
        <f>TEXT(BR18,"000")</f>
        <v>106</v>
      </c>
      <c r="AZ18" s="92">
        <f>IF(SUM(AW18:AW22)&gt;0,1,0)</f>
        <v>1</v>
      </c>
      <c r="BA18" s="17" t="str">
        <f>IF(O18="2回入金","92",IF(O18="早期2回","R2",IF(O18="早期3回","R3",IF(O18="早期4回","R4",IF(O18="早期6回","R6","")))))</f>
        <v>92</v>
      </c>
      <c r="BB18" s="210" t="str">
        <f>AZ14</f>
        <v>14</v>
      </c>
      <c r="BC18" s="210" t="s">
        <v>877</v>
      </c>
      <c r="BD18" s="17">
        <f>ROW(C18)</f>
        <v>18</v>
      </c>
      <c r="BE18" s="17"/>
      <c r="BF18" s="15" t="str">
        <f>"106"&amp;BC18&amp;1</f>
        <v>106106011</v>
      </c>
      <c r="BG18" s="14"/>
      <c r="BH18" s="93" t="str">
        <f>AX18&amp;"→"</f>
        <v>VM→</v>
      </c>
      <c r="BI18" s="14">
        <v>10602</v>
      </c>
      <c r="BJ18" s="14">
        <f>AW18</f>
        <v>1</v>
      </c>
      <c r="BK18" s="17">
        <f>$AZ$18</f>
        <v>1</v>
      </c>
      <c r="BL18" s="2317">
        <f ca="1">IF($AW18=0,"",INDIRECT(ADDRESS($BD18,BL$16)))</f>
        <v>0</v>
      </c>
      <c r="BM18" s="2317">
        <f ca="1">IF($AW18=0,"",INDIRECT(ADDRESS($BD18,BM$16)))</f>
        <v>0</v>
      </c>
      <c r="BN18" s="266">
        <f ca="1">IF($AW18=0,"",INDIRECT(ADDRESS($BD18,BN$16)))</f>
        <v>0</v>
      </c>
      <c r="BO18" s="266">
        <f ca="1">IF($AW18=0,"",INDIRECT(ADDRESS($BD18,BO$16)))</f>
        <v>0</v>
      </c>
      <c r="BP18" s="389">
        <f ca="1">IF($AW18=0,"",INDIRECT(ADDRESS($BD18,BP$16)))</f>
        <v>0</v>
      </c>
      <c r="BQ18" s="370"/>
      <c r="BR18" s="17">
        <v>106</v>
      </c>
      <c r="BX18" s="2" t="s">
        <v>2009</v>
      </c>
      <c r="BZ18" s="583" t="s">
        <v>1350</v>
      </c>
      <c r="CA18" s="584" t="str">
        <f t="shared" si="0"/>
        <v>1202895</v>
      </c>
      <c r="CB18" s="585" t="s">
        <v>659</v>
      </c>
      <c r="CC18" s="11"/>
      <c r="CD18" s="108"/>
      <c r="CE18" s="108"/>
      <c r="CF18" s="108"/>
      <c r="CG18" s="23"/>
      <c r="CH18" s="49" t="s">
        <v>378</v>
      </c>
      <c r="CI18" s="49" t="s">
        <v>21</v>
      </c>
      <c r="CJ18" s="49">
        <v>60</v>
      </c>
      <c r="CK18" s="49" t="s">
        <v>216</v>
      </c>
      <c r="CL18" s="49" t="s">
        <v>90</v>
      </c>
      <c r="CM18" s="49"/>
      <c r="CN18" s="49"/>
      <c r="CO18" s="50" t="s">
        <v>287</v>
      </c>
      <c r="CP18" s="51" t="str">
        <f>T(記入シート1!I28)</f>
        <v/>
      </c>
      <c r="CQ18" s="2"/>
      <c r="CR18" s="52" t="s">
        <v>2156</v>
      </c>
      <c r="CS18" s="52">
        <v>941</v>
      </c>
      <c r="CT18" s="53" t="str">
        <f t="shared" si="4"/>
        <v>20210601</v>
      </c>
      <c r="CU18" s="54">
        <f t="shared" si="5"/>
        <v>0</v>
      </c>
      <c r="CV18" s="10">
        <f t="shared" si="1"/>
        <v>0</v>
      </c>
      <c r="CW18" s="34" t="s">
        <v>281</v>
      </c>
      <c r="CX18" s="34" t="s">
        <v>629</v>
      </c>
      <c r="CY18" s="40" t="s">
        <v>736</v>
      </c>
      <c r="CZ18" s="41" t="s">
        <v>343</v>
      </c>
      <c r="DA18" s="40"/>
      <c r="DB18" s="34" t="str">
        <f t="shared" si="3"/>
        <v>001</v>
      </c>
      <c r="DC18" s="81" t="s">
        <v>282</v>
      </c>
      <c r="DD18" s="96"/>
      <c r="DE18" s="64"/>
      <c r="DF18" s="64"/>
      <c r="DG18" s="64"/>
      <c r="DH18" s="435" t="s">
        <v>891</v>
      </c>
      <c r="DI18" s="501" t="s">
        <v>1900</v>
      </c>
      <c r="DJ18" s="74"/>
      <c r="DK18" s="75" t="str">
        <f t="shared" si="2"/>
        <v>106022YI</v>
      </c>
      <c r="DL18" s="78" t="s">
        <v>880</v>
      </c>
      <c r="DM18" s="76" t="s">
        <v>925</v>
      </c>
      <c r="DN18" s="227" t="str">
        <f>ASC(AA127)</f>
        <v>1</v>
      </c>
      <c r="DO18" s="18"/>
      <c r="DP18" s="359" t="s">
        <v>1263</v>
      </c>
      <c r="DQ18" s="359" t="s">
        <v>1137</v>
      </c>
      <c r="DR18" s="359" t="s">
        <v>1258</v>
      </c>
      <c r="DS18" s="359"/>
      <c r="DT18" s="359" t="s">
        <v>1267</v>
      </c>
      <c r="DU18" s="360"/>
      <c r="DX18" s="85"/>
      <c r="DY18" s="85"/>
    </row>
    <row r="19" spans="1:129" ht="19.5" hidden="1" customHeight="1" thickBot="1">
      <c r="A19" s="111"/>
      <c r="B19" s="181"/>
      <c r="C19" s="2250" t="s">
        <v>911</v>
      </c>
      <c r="D19" s="2251"/>
      <c r="E19" s="2251"/>
      <c r="F19" s="2251"/>
      <c r="G19" s="2251"/>
      <c r="H19" s="2251"/>
      <c r="I19" s="2261"/>
      <c r="J19" s="714"/>
      <c r="K19" s="737"/>
      <c r="L19" s="2328" t="s">
        <v>968</v>
      </c>
      <c r="M19" s="2329"/>
      <c r="N19" s="2330"/>
      <c r="O19" s="2370" t="s">
        <v>1071</v>
      </c>
      <c r="P19" s="2371"/>
      <c r="Q19" s="2372">
        <v>0</v>
      </c>
      <c r="R19" s="2373"/>
      <c r="S19" s="2373"/>
      <c r="T19" s="2374"/>
      <c r="U19" s="2375">
        <v>0</v>
      </c>
      <c r="V19" s="2376"/>
      <c r="W19" s="2376"/>
      <c r="X19" s="2377"/>
      <c r="Y19" s="2367">
        <v>3.2399999999999998E-2</v>
      </c>
      <c r="Z19" s="2367"/>
      <c r="AA19" s="2367"/>
      <c r="AB19" s="2367"/>
      <c r="AC19" s="2367">
        <v>0</v>
      </c>
      <c r="AD19" s="2367"/>
      <c r="AE19" s="2367"/>
      <c r="AF19" s="2367"/>
      <c r="AG19" s="2381">
        <v>0</v>
      </c>
      <c r="AH19" s="2381"/>
      <c r="AI19" s="2381"/>
      <c r="AJ19" s="2381"/>
      <c r="AK19" s="2320" t="s">
        <v>875</v>
      </c>
      <c r="AL19" s="2321"/>
      <c r="AM19" s="2321"/>
      <c r="AN19" s="2321"/>
      <c r="AO19" s="2321"/>
      <c r="AP19" s="1006" t="s">
        <v>997</v>
      </c>
      <c r="AQ19" s="2345" t="s">
        <v>991</v>
      </c>
      <c r="AR19" s="2345"/>
      <c r="AS19" s="2345"/>
      <c r="AT19" s="2346"/>
      <c r="AU19" s="171"/>
      <c r="AV19" s="151" t="b">
        <f>IF(AND(AV18=TRUE,OR(AQ19="-",AQ19="")),TRUE,FALSE)</f>
        <v>1</v>
      </c>
      <c r="AW19" s="204">
        <f>$AW$18</f>
        <v>1</v>
      </c>
      <c r="AX19" s="204" t="str">
        <f>IF(OR(AV20=TRUE,AV21=TRUE,AV22=TRUE),"分割・リボ","")</f>
        <v/>
      </c>
      <c r="AY19" s="204"/>
      <c r="AZ19" s="204"/>
      <c r="BA19" s="205"/>
      <c r="BB19" s="211" t="str">
        <f>BB18</f>
        <v>14</v>
      </c>
      <c r="BC19" s="210" t="s">
        <v>880</v>
      </c>
      <c r="BD19" s="205">
        <f>ROW(C18)</f>
        <v>18</v>
      </c>
      <c r="BE19" s="205"/>
      <c r="BF19" s="206" t="str">
        <f>"106"&amp;BC19&amp;2</f>
        <v>106106022</v>
      </c>
      <c r="BG19" s="207"/>
      <c r="BH19" s="93" t="str">
        <f>AX19&amp;"→"</f>
        <v>→</v>
      </c>
      <c r="BI19" s="208">
        <v>10602</v>
      </c>
      <c r="BJ19" s="14">
        <f>AW19</f>
        <v>1</v>
      </c>
      <c r="BK19" s="17">
        <f>$AZ$18</f>
        <v>1</v>
      </c>
      <c r="BL19" s="2317"/>
      <c r="BM19" s="2317"/>
      <c r="BN19" s="266">
        <f ca="1">IF($AW19=0,"",INDIRECT(ADDRESS($BD19,BN$16)))</f>
        <v>0</v>
      </c>
      <c r="BO19" s="266">
        <f ca="1">IF($AW19=0,"",INDIRECT(ADDRESS($BD19,BO$16)))</f>
        <v>0</v>
      </c>
      <c r="BP19" s="389">
        <f t="shared" ref="BN19:BP22" ca="1" si="6">IF($AW19=0,"",INDIRECT(ADDRESS($BD19,BP$16)))</f>
        <v>0</v>
      </c>
      <c r="BR19" s="17">
        <v>106</v>
      </c>
      <c r="BX19" s="2" t="s">
        <v>2010</v>
      </c>
      <c r="BZ19" s="583" t="s">
        <v>1351</v>
      </c>
      <c r="CA19" s="584" t="str">
        <f t="shared" si="0"/>
        <v>1203376</v>
      </c>
      <c r="CB19" s="585" t="s">
        <v>660</v>
      </c>
      <c r="CC19" s="11"/>
      <c r="CD19" s="108"/>
      <c r="CE19" s="108"/>
      <c r="CF19" s="108"/>
      <c r="CG19" s="23"/>
      <c r="CH19" s="49" t="s">
        <v>379</v>
      </c>
      <c r="CI19" s="49" t="s">
        <v>22</v>
      </c>
      <c r="CJ19" s="49">
        <v>255</v>
      </c>
      <c r="CK19" s="49" t="s">
        <v>216</v>
      </c>
      <c r="CL19" s="49" t="s">
        <v>90</v>
      </c>
      <c r="CM19" s="49"/>
      <c r="CN19" s="49"/>
      <c r="CO19" s="50" t="s">
        <v>273</v>
      </c>
      <c r="CP19" s="51"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2"/>
      <c r="CR19" s="52" t="s">
        <v>2157</v>
      </c>
      <c r="CS19" s="52">
        <v>942</v>
      </c>
      <c r="CT19" s="53" t="str">
        <f t="shared" si="4"/>
        <v>20210601</v>
      </c>
      <c r="CU19" s="54">
        <f t="shared" si="5"/>
        <v>1</v>
      </c>
      <c r="CV19" s="10">
        <f t="shared" si="1"/>
        <v>1</v>
      </c>
      <c r="CW19" s="34" t="s">
        <v>277</v>
      </c>
      <c r="CX19" s="34" t="s">
        <v>629</v>
      </c>
      <c r="CY19" s="40" t="s">
        <v>736</v>
      </c>
      <c r="CZ19" s="41" t="s">
        <v>343</v>
      </c>
      <c r="DA19" s="40"/>
      <c r="DB19" s="34" t="str">
        <f t="shared" si="3"/>
        <v>001</v>
      </c>
      <c r="DC19" s="81" t="s">
        <v>278</v>
      </c>
      <c r="DD19" s="96"/>
      <c r="DE19" s="64"/>
      <c r="DF19" s="64"/>
      <c r="DG19" s="64"/>
      <c r="DH19" s="435" t="s">
        <v>891</v>
      </c>
      <c r="DI19" s="501" t="s">
        <v>1901</v>
      </c>
      <c r="DJ19" s="74"/>
      <c r="DK19" s="75" t="str">
        <f t="shared" si="2"/>
        <v>106022YJ</v>
      </c>
      <c r="DL19" s="78" t="s">
        <v>880</v>
      </c>
      <c r="DM19" s="76" t="s">
        <v>926</v>
      </c>
      <c r="DN19" s="227" t="str">
        <f>ASC(AA128)</f>
        <v>1</v>
      </c>
      <c r="DO19" s="18"/>
      <c r="DP19" s="359" t="s">
        <v>1263</v>
      </c>
      <c r="DQ19" s="359" t="s">
        <v>1138</v>
      </c>
      <c r="DR19" s="359" t="s">
        <v>1258</v>
      </c>
      <c r="DS19" s="359"/>
      <c r="DT19" s="359" t="s">
        <v>1268</v>
      </c>
      <c r="DU19" s="360"/>
      <c r="DX19" s="85"/>
      <c r="DY19" s="85"/>
    </row>
    <row r="20" spans="1:129" ht="19.5" customHeight="1" thickTop="1">
      <c r="A20" s="111"/>
      <c r="B20" s="181"/>
      <c r="C20" s="1709" t="s">
        <v>5019</v>
      </c>
      <c r="D20" s="2355"/>
      <c r="E20" s="2355"/>
      <c r="F20" s="2355"/>
      <c r="G20" s="2355"/>
      <c r="H20" s="2355"/>
      <c r="I20" s="2355"/>
      <c r="J20" s="2355"/>
      <c r="K20" s="2356"/>
      <c r="L20" s="2363"/>
      <c r="M20" s="2364"/>
      <c r="N20" s="2188" t="s">
        <v>853</v>
      </c>
      <c r="O20" s="2188"/>
      <c r="P20" s="2188"/>
      <c r="Q20" s="2188"/>
      <c r="R20" s="2188"/>
      <c r="S20" s="2188"/>
      <c r="T20" s="2188"/>
      <c r="U20" s="2365"/>
      <c r="V20" s="2365"/>
      <c r="W20" s="2365"/>
      <c r="X20" s="2365"/>
      <c r="Y20" s="2365"/>
      <c r="Z20" s="2365"/>
      <c r="AA20" s="2365"/>
      <c r="AB20" s="2365"/>
      <c r="AC20" s="2365"/>
      <c r="AD20" s="2365"/>
      <c r="AE20" s="2365"/>
      <c r="AF20" s="2365"/>
      <c r="AG20" s="2365"/>
      <c r="AH20" s="2365"/>
      <c r="AI20" s="2365"/>
      <c r="AJ20" s="2365"/>
      <c r="AK20" s="2365"/>
      <c r="AL20" s="2365"/>
      <c r="AM20" s="2365"/>
      <c r="AN20" s="2365"/>
      <c r="AO20" s="2365"/>
      <c r="AP20" s="2365"/>
      <c r="AQ20" s="2365"/>
      <c r="AR20" s="2365"/>
      <c r="AS20" s="2365"/>
      <c r="AT20" s="2366"/>
      <c r="AU20" s="171"/>
      <c r="AV20" s="151" t="b">
        <v>0</v>
      </c>
      <c r="AW20" s="204">
        <f>$AW$18</f>
        <v>1</v>
      </c>
      <c r="AX20" s="204" t="str">
        <f>IF(AV23=TRUE,"ボーナス","")</f>
        <v/>
      </c>
      <c r="AY20" s="204"/>
      <c r="AZ20" s="204"/>
      <c r="BA20" s="205"/>
      <c r="BB20" s="211" t="str">
        <f>BB19</f>
        <v>14</v>
      </c>
      <c r="BC20" s="210" t="s">
        <v>906</v>
      </c>
      <c r="BD20" s="205">
        <f>ROW(C18)</f>
        <v>18</v>
      </c>
      <c r="BE20" s="205"/>
      <c r="BF20" s="206" t="str">
        <f>"106"&amp;BC20&amp;3</f>
        <v>106106033</v>
      </c>
      <c r="BG20" s="207"/>
      <c r="BH20" s="93" t="str">
        <f>AX20&amp;"→"</f>
        <v>→</v>
      </c>
      <c r="BI20" s="208">
        <v>10602</v>
      </c>
      <c r="BJ20" s="14">
        <f>AW20</f>
        <v>1</v>
      </c>
      <c r="BK20" s="17">
        <f>$AZ$18</f>
        <v>1</v>
      </c>
      <c r="BL20" s="2317"/>
      <c r="BM20" s="2317"/>
      <c r="BN20" s="266">
        <f ca="1">IF($AW20=0,"",INDIRECT(ADDRESS($BD20,BN$16)))</f>
        <v>0</v>
      </c>
      <c r="BO20" s="266">
        <f ca="1">IF($AW20=0,"",INDIRECT(ADDRESS($BD20,BO$16)))</f>
        <v>0</v>
      </c>
      <c r="BP20" s="389">
        <f t="shared" ca="1" si="6"/>
        <v>0</v>
      </c>
      <c r="BR20" s="17">
        <v>106</v>
      </c>
      <c r="BX20" s="2" t="s">
        <v>2011</v>
      </c>
      <c r="BZ20" s="583" t="s">
        <v>1314</v>
      </c>
      <c r="CA20" s="584" t="str">
        <f t="shared" si="0"/>
        <v>1203405</v>
      </c>
      <c r="CB20" s="585" t="s">
        <v>1372</v>
      </c>
      <c r="CD20" s="108"/>
      <c r="CE20" s="108"/>
      <c r="CF20" s="108"/>
      <c r="CG20" s="23"/>
      <c r="CH20" s="49" t="s">
        <v>280</v>
      </c>
      <c r="CI20" s="49" t="s">
        <v>22</v>
      </c>
      <c r="CJ20" s="49">
        <v>8</v>
      </c>
      <c r="CK20" s="49" t="s">
        <v>216</v>
      </c>
      <c r="CL20" s="49" t="s">
        <v>90</v>
      </c>
      <c r="CM20" s="49"/>
      <c r="CN20" s="49"/>
      <c r="CO20" s="50" t="s">
        <v>279</v>
      </c>
      <c r="CP20" s="51" t="str">
        <f>ASC(記入シート1!J35&amp;"-"&amp;記入シート1!M35)</f>
        <v>-</v>
      </c>
      <c r="CQ20" s="2"/>
      <c r="CR20" s="52" t="s">
        <v>2158</v>
      </c>
      <c r="CS20" s="52"/>
      <c r="CT20" s="52"/>
      <c r="CU20" s="212"/>
      <c r="CV20" s="10">
        <f t="shared" si="1"/>
        <v>0</v>
      </c>
      <c r="CW20" s="34" t="s">
        <v>274</v>
      </c>
      <c r="CX20" s="34" t="s">
        <v>629</v>
      </c>
      <c r="CY20" s="40" t="s">
        <v>736</v>
      </c>
      <c r="CZ20" s="41" t="s">
        <v>343</v>
      </c>
      <c r="DA20" s="40"/>
      <c r="DB20" s="34" t="str">
        <f t="shared" si="3"/>
        <v>001</v>
      </c>
      <c r="DC20" s="81" t="s">
        <v>275</v>
      </c>
      <c r="DD20" s="96"/>
      <c r="DE20" s="64"/>
      <c r="DF20" s="64"/>
      <c r="DG20" s="64"/>
      <c r="DH20" s="435" t="s">
        <v>891</v>
      </c>
      <c r="DI20" s="105" t="s">
        <v>1902</v>
      </c>
      <c r="DJ20" s="38"/>
      <c r="DK20" s="75" t="str">
        <f t="shared" si="2"/>
        <v>106022YK</v>
      </c>
      <c r="DL20" s="78" t="s">
        <v>880</v>
      </c>
      <c r="DM20" s="76" t="s">
        <v>927</v>
      </c>
      <c r="DN20" s="227" t="str">
        <f>ASC(AA129)</f>
        <v>1</v>
      </c>
      <c r="DO20" s="18"/>
      <c r="DP20" s="83" t="s">
        <v>1269</v>
      </c>
      <c r="DQ20" s="83" t="s">
        <v>1139</v>
      </c>
      <c r="DR20" s="83" t="s">
        <v>1112</v>
      </c>
      <c r="DS20" s="83" t="s">
        <v>1270</v>
      </c>
      <c r="DT20" s="359" t="s">
        <v>1271</v>
      </c>
      <c r="DU20" s="361"/>
      <c r="DX20" s="85"/>
      <c r="DY20" s="85"/>
    </row>
    <row r="21" spans="1:129" ht="19.5" customHeight="1">
      <c r="A21" s="111"/>
      <c r="B21" s="181"/>
      <c r="C21" s="2357"/>
      <c r="D21" s="2358"/>
      <c r="E21" s="2358"/>
      <c r="F21" s="2358"/>
      <c r="G21" s="2358"/>
      <c r="H21" s="2358"/>
      <c r="I21" s="2358"/>
      <c r="J21" s="2358"/>
      <c r="K21" s="2359"/>
      <c r="L21" s="2363"/>
      <c r="M21" s="2364"/>
      <c r="N21" s="2188" t="s">
        <v>854</v>
      </c>
      <c r="O21" s="2188"/>
      <c r="P21" s="2188"/>
      <c r="Q21" s="2188"/>
      <c r="R21" s="2188"/>
      <c r="S21" s="2188"/>
      <c r="T21" s="2188"/>
      <c r="U21" s="2365" t="s">
        <v>857</v>
      </c>
      <c r="V21" s="2365"/>
      <c r="W21" s="2365"/>
      <c r="X21" s="2365"/>
      <c r="Y21" s="2365"/>
      <c r="Z21" s="2365"/>
      <c r="AA21" s="2365"/>
      <c r="AB21" s="2365"/>
      <c r="AC21" s="2365"/>
      <c r="AD21" s="2365"/>
      <c r="AE21" s="2365"/>
      <c r="AF21" s="2365"/>
      <c r="AG21" s="2365"/>
      <c r="AH21" s="2365"/>
      <c r="AI21" s="2365"/>
      <c r="AJ21" s="2365"/>
      <c r="AK21" s="2365"/>
      <c r="AL21" s="2365"/>
      <c r="AM21" s="2365"/>
      <c r="AN21" s="2365"/>
      <c r="AO21" s="2365"/>
      <c r="AP21" s="2365"/>
      <c r="AQ21" s="2365"/>
      <c r="AR21" s="2365"/>
      <c r="AS21" s="2365"/>
      <c r="AT21" s="2366"/>
      <c r="AU21" s="171"/>
      <c r="AV21" s="151" t="b">
        <v>0</v>
      </c>
      <c r="AW21" s="204">
        <f>$AW$18</f>
        <v>1</v>
      </c>
      <c r="AX21" s="204" t="str">
        <f>IF(AV23=TRUE,"ボーナス留保分","")</f>
        <v/>
      </c>
      <c r="AY21" s="204"/>
      <c r="AZ21" s="204"/>
      <c r="BA21" s="205"/>
      <c r="BB21" s="211" t="str">
        <f>BB20</f>
        <v>14</v>
      </c>
      <c r="BC21" s="210" t="s">
        <v>907</v>
      </c>
      <c r="BD21" s="205">
        <f>ROW(C18)</f>
        <v>18</v>
      </c>
      <c r="BE21" s="205"/>
      <c r="BF21" s="206" t="str">
        <f>"106"&amp;BC21&amp;4</f>
        <v>106106044</v>
      </c>
      <c r="BG21" s="207"/>
      <c r="BH21" s="93" t="str">
        <f>AX21&amp;"→"</f>
        <v>→</v>
      </c>
      <c r="BI21" s="208">
        <v>10602</v>
      </c>
      <c r="BJ21" s="14">
        <f>AW21</f>
        <v>1</v>
      </c>
      <c r="BK21" s="17">
        <f>$AZ$18</f>
        <v>1</v>
      </c>
      <c r="BL21" s="2317"/>
      <c r="BM21" s="2317"/>
      <c r="BN21" s="266">
        <f t="shared" ca="1" si="6"/>
        <v>0</v>
      </c>
      <c r="BO21" s="266">
        <f t="shared" ca="1" si="6"/>
        <v>0</v>
      </c>
      <c r="BP21" s="389">
        <f t="shared" ca="1" si="6"/>
        <v>0</v>
      </c>
      <c r="BR21" s="17">
        <v>106</v>
      </c>
      <c r="BX21" s="2" t="s">
        <v>2012</v>
      </c>
      <c r="BZ21" s="583" t="s">
        <v>1352</v>
      </c>
      <c r="CA21" s="584" t="str">
        <f t="shared" si="0"/>
        <v>1203713</v>
      </c>
      <c r="CB21" s="585" t="s">
        <v>661</v>
      </c>
      <c r="CD21" s="108"/>
      <c r="CE21" s="108"/>
      <c r="CF21" s="108"/>
      <c r="CG21" s="23"/>
      <c r="CH21" s="49" t="s">
        <v>384</v>
      </c>
      <c r="CI21" s="49" t="s">
        <v>21</v>
      </c>
      <c r="CJ21" s="49">
        <v>255</v>
      </c>
      <c r="CK21" s="49" t="s">
        <v>216</v>
      </c>
      <c r="CL21" s="49" t="s">
        <v>90</v>
      </c>
      <c r="CM21" s="49"/>
      <c r="CN21" s="49"/>
      <c r="CO21" s="50" t="s">
        <v>276</v>
      </c>
      <c r="CP21" s="51"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2"/>
      <c r="CR21" s="52"/>
      <c r="CS21" s="52"/>
      <c r="CT21" s="52"/>
      <c r="CU21" s="212"/>
      <c r="CV21" s="10">
        <f t="shared" si="1"/>
        <v>0</v>
      </c>
      <c r="CW21" s="34" t="s">
        <v>271</v>
      </c>
      <c r="CX21" s="34" t="s">
        <v>698</v>
      </c>
      <c r="CY21" s="40" t="s">
        <v>736</v>
      </c>
      <c r="CZ21" s="41" t="s">
        <v>343</v>
      </c>
      <c r="DA21" s="40"/>
      <c r="DB21" s="34" t="str">
        <f t="shared" si="3"/>
        <v>001</v>
      </c>
      <c r="DC21" s="81" t="s">
        <v>272</v>
      </c>
      <c r="DD21" s="96"/>
      <c r="DE21" s="64"/>
      <c r="DF21" s="64"/>
      <c r="DG21" s="64"/>
      <c r="DH21" s="435" t="s">
        <v>891</v>
      </c>
      <c r="DI21" s="105" t="s">
        <v>901</v>
      </c>
      <c r="DJ21" s="38"/>
      <c r="DK21" s="75" t="str">
        <f t="shared" si="2"/>
        <v>106022YL</v>
      </c>
      <c r="DL21" s="78" t="s">
        <v>880</v>
      </c>
      <c r="DM21" s="76" t="s">
        <v>933</v>
      </c>
      <c r="DN21" s="227" t="str">
        <f>ASC(AA133)</f>
        <v>0</v>
      </c>
      <c r="DO21" s="18"/>
      <c r="DP21" s="83" t="s">
        <v>1269</v>
      </c>
      <c r="DQ21" s="83" t="s">
        <v>1140</v>
      </c>
      <c r="DR21" s="83" t="s">
        <v>1112</v>
      </c>
      <c r="DS21" s="83" t="s">
        <v>1272</v>
      </c>
      <c r="DT21" s="50" t="s">
        <v>1141</v>
      </c>
      <c r="DU21" s="227">
        <v>1</v>
      </c>
      <c r="DV21" s="23"/>
      <c r="DX21" s="85"/>
      <c r="DY21" s="85"/>
    </row>
    <row r="22" spans="1:129" ht="19.5" customHeight="1">
      <c r="A22" s="111"/>
      <c r="B22" s="181"/>
      <c r="C22" s="2357"/>
      <c r="D22" s="2358"/>
      <c r="E22" s="2358"/>
      <c r="F22" s="2358"/>
      <c r="G22" s="2358"/>
      <c r="H22" s="2358"/>
      <c r="I22" s="2358"/>
      <c r="J22" s="2358"/>
      <c r="K22" s="2359"/>
      <c r="L22" s="2363"/>
      <c r="M22" s="2364"/>
      <c r="N22" s="2188" t="s">
        <v>855</v>
      </c>
      <c r="O22" s="2188"/>
      <c r="P22" s="2188"/>
      <c r="Q22" s="2188"/>
      <c r="R22" s="2188"/>
      <c r="S22" s="2188"/>
      <c r="T22" s="2188"/>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c r="AS22" s="2365"/>
      <c r="AT22" s="2366"/>
      <c r="AU22" s="171"/>
      <c r="AV22" s="151" t="b">
        <v>0</v>
      </c>
      <c r="AW22" s="92">
        <f>IF(AV19=TRUE,AV19*1,0)</f>
        <v>1</v>
      </c>
      <c r="AX22" s="92" t="str">
        <f>IF(AV19=TRUE,"銀聯","")</f>
        <v>銀聯</v>
      </c>
      <c r="AY22" s="92"/>
      <c r="AZ22" s="92"/>
      <c r="BA22" s="17"/>
      <c r="BB22" s="210" t="str">
        <f>BB21</f>
        <v>14</v>
      </c>
      <c r="BC22" s="210" t="s">
        <v>910</v>
      </c>
      <c r="BD22" s="17">
        <f>ROW(C19)</f>
        <v>19</v>
      </c>
      <c r="BE22" s="17"/>
      <c r="BF22" s="15" t="str">
        <f>"106"&amp;BC22&amp;5</f>
        <v>106106055</v>
      </c>
      <c r="BG22" s="14"/>
      <c r="BH22" s="93" t="str">
        <f>AX22&amp;"→"</f>
        <v>銀聯→</v>
      </c>
      <c r="BI22" s="372">
        <v>10602</v>
      </c>
      <c r="BJ22" s="14">
        <f>AW22</f>
        <v>1</v>
      </c>
      <c r="BK22" s="14">
        <f>AW22</f>
        <v>1</v>
      </c>
      <c r="BL22" s="2317"/>
      <c r="BM22" s="2317"/>
      <c r="BN22" s="266">
        <f t="shared" ca="1" si="6"/>
        <v>3.2399999999999998E-2</v>
      </c>
      <c r="BO22" s="266">
        <f ca="1">IF($AW22=0,"",INDIRECT(ADDRESS($BD22,BO$16)))</f>
        <v>0</v>
      </c>
      <c r="BP22" s="389">
        <f t="shared" ca="1" si="6"/>
        <v>0</v>
      </c>
      <c r="BQ22" s="371"/>
      <c r="BR22" s="17">
        <v>106</v>
      </c>
      <c r="BX22" s="2" t="s">
        <v>2013</v>
      </c>
      <c r="BZ22" s="583" t="s">
        <v>1353</v>
      </c>
      <c r="CA22" s="584" t="str">
        <f t="shared" si="0"/>
        <v>1203747</v>
      </c>
      <c r="CB22" s="585" t="s">
        <v>662</v>
      </c>
      <c r="CD22" s="108"/>
      <c r="CE22" s="108"/>
      <c r="CF22" s="108"/>
      <c r="CG22" s="23"/>
      <c r="CH22" s="49" t="s">
        <v>386</v>
      </c>
      <c r="CI22" s="49" t="s">
        <v>22</v>
      </c>
      <c r="CJ22" s="49">
        <v>15</v>
      </c>
      <c r="CK22" s="49" t="s">
        <v>216</v>
      </c>
      <c r="CL22" s="49" t="s">
        <v>90</v>
      </c>
      <c r="CM22" s="49"/>
      <c r="CN22" s="49"/>
      <c r="CO22" s="50" t="s">
        <v>270</v>
      </c>
      <c r="CP22" s="51" t="str">
        <f>ASC(記入シート1!I38)&amp;"-"&amp;ASC(記入シート1!O38)&amp;"-"&amp;ASC(記入シート1!T38)</f>
        <v>--</v>
      </c>
      <c r="CQ22" s="2"/>
      <c r="CR22" s="52"/>
      <c r="CS22" s="52"/>
      <c r="CT22" s="52"/>
      <c r="CU22" s="212"/>
      <c r="CV22" s="10">
        <f t="shared" si="1"/>
        <v>0</v>
      </c>
      <c r="CW22" s="34" t="s">
        <v>268</v>
      </c>
      <c r="CX22" s="34" t="s">
        <v>698</v>
      </c>
      <c r="CY22" s="103"/>
      <c r="CZ22" s="40" t="s">
        <v>359</v>
      </c>
      <c r="DA22" s="103" t="s">
        <v>752</v>
      </c>
      <c r="DB22" s="34" t="str">
        <f t="shared" si="3"/>
        <v>001</v>
      </c>
      <c r="DC22" s="81" t="s">
        <v>269</v>
      </c>
      <c r="DD22" s="96"/>
      <c r="DE22" s="64"/>
      <c r="DF22" s="64"/>
      <c r="DG22" s="64"/>
      <c r="DH22" s="435" t="s">
        <v>891</v>
      </c>
      <c r="DI22" s="105" t="s">
        <v>902</v>
      </c>
      <c r="DJ22" s="38"/>
      <c r="DK22" s="75" t="str">
        <f t="shared" si="2"/>
        <v>106022YM</v>
      </c>
      <c r="DL22" s="78" t="s">
        <v>880</v>
      </c>
      <c r="DM22" s="76" t="s">
        <v>934</v>
      </c>
      <c r="DN22" s="227" t="str">
        <f>ASC(AE147)</f>
        <v>114980</v>
      </c>
      <c r="DO22" s="18"/>
      <c r="DP22" s="83" t="s">
        <v>1269</v>
      </c>
      <c r="DQ22" s="83" t="s">
        <v>1142</v>
      </c>
      <c r="DR22" s="83" t="s">
        <v>1273</v>
      </c>
      <c r="DS22" s="83" t="s">
        <v>1274</v>
      </c>
      <c r="DT22" s="359" t="s">
        <v>1275</v>
      </c>
      <c r="DU22" s="360"/>
      <c r="DV22" s="23"/>
      <c r="DX22" s="85"/>
      <c r="DY22" s="85"/>
    </row>
    <row r="23" spans="1:129" ht="19.5" customHeight="1" thickBot="1">
      <c r="A23" s="111"/>
      <c r="B23" s="181"/>
      <c r="C23" s="2360"/>
      <c r="D23" s="2361"/>
      <c r="E23" s="2361"/>
      <c r="F23" s="2361"/>
      <c r="G23" s="2361"/>
      <c r="H23" s="2361"/>
      <c r="I23" s="2361"/>
      <c r="J23" s="2361"/>
      <c r="K23" s="2362"/>
      <c r="L23" s="2350"/>
      <c r="M23" s="2351"/>
      <c r="N23" s="2352" t="s">
        <v>856</v>
      </c>
      <c r="O23" s="2352"/>
      <c r="P23" s="2352"/>
      <c r="Q23" s="2352"/>
      <c r="R23" s="2352"/>
      <c r="S23" s="2352"/>
      <c r="T23" s="2352"/>
      <c r="U23" s="2353" t="s">
        <v>944</v>
      </c>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c r="AS23" s="2353"/>
      <c r="AT23" s="2354"/>
      <c r="AU23" s="171"/>
      <c r="AV23" s="151" t="b">
        <v>0</v>
      </c>
      <c r="BX23" s="2" t="s">
        <v>2014</v>
      </c>
      <c r="BZ23" s="583" t="s">
        <v>1315</v>
      </c>
      <c r="CA23" s="584" t="str">
        <f t="shared" si="0"/>
        <v>1203748</v>
      </c>
      <c r="CB23" s="585" t="s">
        <v>663</v>
      </c>
      <c r="CD23" s="108"/>
      <c r="CE23" s="108"/>
      <c r="CF23" s="108"/>
      <c r="CG23" s="23"/>
      <c r="CH23" s="49" t="s">
        <v>388</v>
      </c>
      <c r="CI23" s="49" t="s">
        <v>22</v>
      </c>
      <c r="CJ23" s="49">
        <v>15</v>
      </c>
      <c r="CK23" s="49" t="s">
        <v>216</v>
      </c>
      <c r="CL23" s="49" t="s">
        <v>83</v>
      </c>
      <c r="CM23" s="49"/>
      <c r="CN23" s="49" t="s">
        <v>600</v>
      </c>
      <c r="CO23" s="50" t="s">
        <v>267</v>
      </c>
      <c r="CP23" s="51" t="str">
        <f>IF(OR(記入シート1!AE38="",記入シート1!AK38="",記入シート1!AP38=""),"00-0000-0000",ASC(記入シート1!AE38)&amp;"-"&amp;ASC(記入シート1!AK38)&amp;"-"&amp;ASC(記入シート1!AP38))</f>
        <v>00-0000-0000</v>
      </c>
      <c r="CQ23" s="2"/>
      <c r="CR23" s="52"/>
      <c r="CS23" s="52"/>
      <c r="CT23" s="52"/>
      <c r="CU23" s="212"/>
      <c r="CV23" s="10">
        <f t="shared" si="1"/>
        <v>0</v>
      </c>
      <c r="CW23" s="34" t="s">
        <v>718</v>
      </c>
      <c r="CX23" s="34"/>
      <c r="CY23" s="95"/>
      <c r="CZ23" s="220"/>
      <c r="DA23" s="95"/>
      <c r="DB23" s="34" t="str">
        <f t="shared" si="3"/>
        <v>001</v>
      </c>
      <c r="DC23" s="81" t="s">
        <v>266</v>
      </c>
      <c r="DD23" s="96"/>
      <c r="DE23" s="64"/>
      <c r="DF23" s="64"/>
      <c r="DG23" s="64"/>
      <c r="DH23" s="435" t="s">
        <v>891</v>
      </c>
      <c r="DI23" s="105" t="s">
        <v>903</v>
      </c>
      <c r="DJ23" s="105" t="s">
        <v>905</v>
      </c>
      <c r="DK23" s="75" t="str">
        <f t="shared" si="2"/>
        <v>106022YN</v>
      </c>
      <c r="DL23" s="78" t="s">
        <v>880</v>
      </c>
      <c r="DM23" s="76" t="s">
        <v>939</v>
      </c>
      <c r="DN23" s="227" t="str">
        <f>ASC(AV150)</f>
        <v>1</v>
      </c>
      <c r="DO23" s="18"/>
      <c r="DP23" s="83" t="s">
        <v>1269</v>
      </c>
      <c r="DQ23" s="83" t="s">
        <v>1143</v>
      </c>
      <c r="DR23" s="83" t="s">
        <v>1112</v>
      </c>
      <c r="DS23" s="83" t="s">
        <v>1276</v>
      </c>
      <c r="DT23" s="359" t="s">
        <v>1277</v>
      </c>
      <c r="DU23" s="361"/>
      <c r="DV23" s="23"/>
      <c r="DX23" s="85"/>
      <c r="DY23" s="85"/>
    </row>
    <row r="24" spans="1:129" ht="19.5" hidden="1" customHeight="1">
      <c r="A24" s="111"/>
      <c r="B24" s="181"/>
      <c r="C24" s="770"/>
      <c r="D24" s="770"/>
      <c r="E24" s="770"/>
      <c r="F24" s="770"/>
      <c r="G24" s="770"/>
      <c r="H24" s="770"/>
      <c r="I24" s="770"/>
      <c r="J24" s="770"/>
      <c r="K24" s="770"/>
      <c r="L24" s="701"/>
      <c r="M24" s="382"/>
      <c r="N24" s="383"/>
      <c r="O24" s="383"/>
      <c r="P24" s="383"/>
      <c r="Q24" s="383"/>
      <c r="R24" s="383"/>
      <c r="S24" s="383"/>
      <c r="T24" s="383"/>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171"/>
      <c r="AV24" s="20">
        <f>IF(OR(AV20=TRUE,AV21=TRUE,AV22=TRUE,AV23=TRUE),1,0)</f>
        <v>0</v>
      </c>
      <c r="BX24" s="2" t="s">
        <v>2015</v>
      </c>
      <c r="BZ24" s="583" t="s">
        <v>1354</v>
      </c>
      <c r="CA24" s="584" t="str">
        <f t="shared" si="0"/>
        <v>1203976</v>
      </c>
      <c r="CB24" s="585" t="s">
        <v>664</v>
      </c>
      <c r="CD24" s="108"/>
      <c r="CE24" s="108"/>
      <c r="CF24" s="108"/>
      <c r="CG24" s="23"/>
      <c r="CH24" s="49" t="s">
        <v>265</v>
      </c>
      <c r="CI24" s="49" t="s">
        <v>63</v>
      </c>
      <c r="CJ24" s="49">
        <v>8</v>
      </c>
      <c r="CK24" s="49" t="s">
        <v>216</v>
      </c>
      <c r="CL24" s="49" t="s">
        <v>90</v>
      </c>
      <c r="CM24" s="49"/>
      <c r="CN24" s="49"/>
      <c r="CO24" s="50" t="s">
        <v>264</v>
      </c>
      <c r="CP24" s="51" t="str">
        <f>RIGHT("0000"&amp;記入シート1!K39,4)&amp;RIGHT("00"&amp;記入シート1!N39,2)&amp;RIGHT("00"&amp;記入シート1!Q39,2)</f>
        <v>00000000</v>
      </c>
      <c r="CQ24" s="2"/>
      <c r="CR24" s="52"/>
      <c r="CS24" s="52"/>
      <c r="CT24" s="52"/>
      <c r="CU24" s="212"/>
      <c r="CV24" s="10">
        <f t="shared" si="1"/>
        <v>0</v>
      </c>
      <c r="CW24" s="34" t="s">
        <v>262</v>
      </c>
      <c r="CX24" s="34" t="s">
        <v>629</v>
      </c>
      <c r="CY24" s="40"/>
      <c r="CZ24" s="95" t="s">
        <v>359</v>
      </c>
      <c r="DA24" s="40" t="s">
        <v>707</v>
      </c>
      <c r="DB24" s="34" t="str">
        <f t="shared" si="3"/>
        <v>001</v>
      </c>
      <c r="DC24" s="81" t="s">
        <v>263</v>
      </c>
      <c r="DD24" s="96"/>
      <c r="DE24" s="64"/>
      <c r="DF24" s="64"/>
      <c r="DG24" s="64"/>
      <c r="DH24" s="435" t="s">
        <v>891</v>
      </c>
      <c r="DI24" s="436" t="s">
        <v>1002</v>
      </c>
      <c r="DJ24" s="269"/>
      <c r="DK24" s="75" t="str">
        <f t="shared" si="2"/>
        <v>106022YP</v>
      </c>
      <c r="DL24" s="78" t="s">
        <v>880</v>
      </c>
      <c r="DM24" s="78" t="s">
        <v>1004</v>
      </c>
      <c r="DN24" s="438" t="str">
        <f>IF(AV96=TRUE,L99&amp;O99,"-")</f>
        <v>-</v>
      </c>
      <c r="DO24" s="18"/>
      <c r="DP24" s="83" t="s">
        <v>1269</v>
      </c>
      <c r="DQ24" s="83" t="s">
        <v>1144</v>
      </c>
      <c r="DR24" s="83" t="s">
        <v>1252</v>
      </c>
      <c r="DS24" s="83" t="s">
        <v>1278</v>
      </c>
      <c r="DT24" s="359" t="s">
        <v>1110</v>
      </c>
      <c r="DU24" s="361"/>
      <c r="DV24" s="23"/>
      <c r="DX24" s="85"/>
      <c r="DY24" s="85"/>
    </row>
    <row r="25" spans="1:129" ht="19.5" customHeight="1" thickBot="1">
      <c r="A25" s="111"/>
      <c r="B25" s="181"/>
      <c r="C25" s="973" t="s">
        <v>5081</v>
      </c>
      <c r="D25" s="973"/>
      <c r="E25" s="973"/>
      <c r="F25" s="973"/>
      <c r="G25" s="973"/>
      <c r="H25" s="973"/>
      <c r="I25" s="973"/>
      <c r="J25" s="973"/>
      <c r="K25" s="973"/>
      <c r="L25" s="972"/>
      <c r="M25" s="972"/>
      <c r="N25" s="974"/>
      <c r="O25" s="974"/>
      <c r="P25" s="974"/>
      <c r="Q25" s="974"/>
      <c r="R25" s="974" t="s">
        <v>5082</v>
      </c>
      <c r="S25" s="974"/>
      <c r="T25" s="974"/>
      <c r="U25" s="975"/>
      <c r="V25" s="975"/>
      <c r="W25" s="975"/>
      <c r="X25" s="975"/>
      <c r="Y25" s="975"/>
      <c r="Z25" s="975"/>
      <c r="AA25" s="975"/>
      <c r="AB25" s="975"/>
      <c r="AC25" s="975"/>
      <c r="AD25" s="975"/>
      <c r="AE25" s="975" t="s">
        <v>5083</v>
      </c>
      <c r="AF25" s="975"/>
      <c r="AG25" s="975"/>
      <c r="AH25" s="975"/>
      <c r="AI25" s="975"/>
      <c r="AJ25" s="975"/>
      <c r="AK25" s="975"/>
      <c r="AL25" s="975"/>
      <c r="AM25" s="975"/>
      <c r="AN25" s="975"/>
      <c r="AO25" s="975"/>
      <c r="AP25" s="975"/>
      <c r="AQ25" s="975"/>
      <c r="AR25" s="975"/>
      <c r="AS25" s="975"/>
      <c r="AT25" s="249"/>
      <c r="AU25" s="171"/>
      <c r="AV25" s="415" t="str">
        <f ca="1">IF(AND(AV30=TRUE,OR(AW25=0,AX25="NG")),"NG","OK")</f>
        <v>NG</v>
      </c>
      <c r="AW25" s="426">
        <f ca="1">【楽天Edy用記入シート】業種シート!G4</f>
        <v>0</v>
      </c>
      <c r="AX25" s="415" t="str">
        <f>IF(AND(【楽天Edy用記入シート】業種シート!H5=1,【楽天Edy用記入シート】業種シート!H4&gt;0),"NG","OK")</f>
        <v>OK</v>
      </c>
      <c r="AY25" s="253"/>
      <c r="BZ25" s="583" t="s">
        <v>1316</v>
      </c>
      <c r="CA25" s="584" t="str">
        <f t="shared" si="0"/>
        <v>1204164</v>
      </c>
      <c r="CB25" s="585" t="s">
        <v>665</v>
      </c>
      <c r="CD25" s="108"/>
      <c r="CE25" s="108"/>
      <c r="CF25" s="108"/>
      <c r="CG25" s="23"/>
      <c r="CH25" s="49" t="s">
        <v>261</v>
      </c>
      <c r="CI25" s="49" t="s">
        <v>19</v>
      </c>
      <c r="CJ25" s="49">
        <v>13</v>
      </c>
      <c r="CK25" s="49" t="s">
        <v>216</v>
      </c>
      <c r="CL25" s="49" t="s">
        <v>90</v>
      </c>
      <c r="CM25" s="49"/>
      <c r="CN25" s="49"/>
      <c r="CO25" s="50" t="s">
        <v>260</v>
      </c>
      <c r="CP25" s="51">
        <f>記入シート1!AA39*10000</f>
        <v>0</v>
      </c>
      <c r="CQ25" s="2"/>
      <c r="CR25" s="52"/>
      <c r="CS25" s="52"/>
      <c r="CT25" s="52"/>
      <c r="CU25" s="52"/>
      <c r="CV25" s="10">
        <f t="shared" si="1"/>
        <v>0</v>
      </c>
      <c r="CW25" s="34" t="s">
        <v>258</v>
      </c>
      <c r="CX25" s="34" t="s">
        <v>629</v>
      </c>
      <c r="CY25" s="95"/>
      <c r="CZ25" s="95" t="s">
        <v>359</v>
      </c>
      <c r="DA25" s="95" t="s">
        <v>628</v>
      </c>
      <c r="DB25" s="34" t="str">
        <f t="shared" si="3"/>
        <v>001</v>
      </c>
      <c r="DC25" s="81" t="s">
        <v>259</v>
      </c>
      <c r="DD25" s="96"/>
      <c r="DE25" s="64"/>
      <c r="DF25" s="64"/>
      <c r="DG25" s="64"/>
      <c r="DH25" s="435" t="s">
        <v>891</v>
      </c>
      <c r="DI25" s="436" t="s">
        <v>1003</v>
      </c>
      <c r="DJ25" s="269"/>
      <c r="DK25" s="75" t="str">
        <f t="shared" si="2"/>
        <v>106022YQ</v>
      </c>
      <c r="DL25" s="78" t="s">
        <v>880</v>
      </c>
      <c r="DM25" s="78" t="s">
        <v>1005</v>
      </c>
      <c r="DN25" s="438" t="str">
        <f>IF(AV97=TRUE,L100&amp;O100,"-")</f>
        <v>-</v>
      </c>
      <c r="DO25" s="18"/>
      <c r="DP25" s="362" t="s">
        <v>1269</v>
      </c>
      <c r="DQ25" s="362" t="s">
        <v>1145</v>
      </c>
      <c r="DR25" s="362" t="s">
        <v>1112</v>
      </c>
      <c r="DS25" s="83" t="s">
        <v>1276</v>
      </c>
      <c r="DT25" s="363" t="s">
        <v>1279</v>
      </c>
      <c r="DU25" s="364"/>
      <c r="DV25" s="23"/>
      <c r="DX25" s="85"/>
      <c r="DY25" s="85"/>
    </row>
    <row r="26" spans="1:129" ht="19.5" customHeight="1" thickTop="1">
      <c r="A26" s="111"/>
      <c r="B26" s="181"/>
      <c r="C26" s="1228" t="s">
        <v>449</v>
      </c>
      <c r="D26" s="1229"/>
      <c r="E26" s="1229"/>
      <c r="F26" s="1229"/>
      <c r="G26" s="1229"/>
      <c r="H26" s="1229"/>
      <c r="I26" s="1230"/>
      <c r="J26" s="2190" t="s">
        <v>845</v>
      </c>
      <c r="K26" s="2191"/>
      <c r="L26" s="2193" t="s">
        <v>846</v>
      </c>
      <c r="M26" s="2194"/>
      <c r="N26" s="2195"/>
      <c r="O26" s="2199" t="s">
        <v>1059</v>
      </c>
      <c r="P26" s="2200"/>
      <c r="Q26" s="2199" t="s">
        <v>2053</v>
      </c>
      <c r="R26" s="2203"/>
      <c r="S26" s="2203"/>
      <c r="T26" s="2200"/>
      <c r="U26" s="2199" t="s">
        <v>2054</v>
      </c>
      <c r="V26" s="2203"/>
      <c r="W26" s="2203"/>
      <c r="X26" s="2200"/>
      <c r="Y26" s="2199" t="s">
        <v>2055</v>
      </c>
      <c r="Z26" s="2203"/>
      <c r="AA26" s="2203"/>
      <c r="AB26" s="2200"/>
      <c r="AC26" s="2199" t="s">
        <v>2056</v>
      </c>
      <c r="AD26" s="2203"/>
      <c r="AE26" s="2203"/>
      <c r="AF26" s="2200"/>
      <c r="AG26" s="2199" t="s">
        <v>2057</v>
      </c>
      <c r="AH26" s="2203"/>
      <c r="AI26" s="2203"/>
      <c r="AJ26" s="2200"/>
      <c r="AK26" s="2177" t="s">
        <v>2052</v>
      </c>
      <c r="AL26" s="2178"/>
      <c r="AM26" s="2178"/>
      <c r="AN26" s="2178"/>
      <c r="AO26" s="2178"/>
      <c r="AP26" s="2178"/>
      <c r="AQ26" s="2178"/>
      <c r="AR26" s="2178"/>
      <c r="AS26" s="2178"/>
      <c r="AT26" s="2179"/>
      <c r="AU26" s="171"/>
      <c r="AV26" s="499" t="str">
        <f>IF(AQ31="","01",LEFT(AQ31,2))</f>
        <v>01</v>
      </c>
      <c r="AW26" s="499" t="str">
        <f>IF(AP29="",BW2,AP29)</f>
        <v>申込方法：</v>
      </c>
      <c r="AY26" s="253" t="s">
        <v>7</v>
      </c>
      <c r="AZ26" s="253" t="s">
        <v>454</v>
      </c>
      <c r="BA26" s="10" t="s">
        <v>908</v>
      </c>
      <c r="BB26" s="10" t="s">
        <v>0</v>
      </c>
      <c r="BC26" s="10" t="s">
        <v>455</v>
      </c>
      <c r="BD26" s="10" t="s">
        <v>975</v>
      </c>
      <c r="BE26" s="10"/>
      <c r="BF26" s="10"/>
      <c r="BG26" s="10"/>
      <c r="BH26" s="10"/>
      <c r="BI26" s="10" t="s">
        <v>456</v>
      </c>
      <c r="BJ26" s="10" t="s">
        <v>457</v>
      </c>
      <c r="BK26" s="10" t="s">
        <v>458</v>
      </c>
      <c r="BL26" s="10" t="s">
        <v>973</v>
      </c>
      <c r="BM26" s="10" t="s">
        <v>974</v>
      </c>
      <c r="BN26" s="10" t="s">
        <v>459</v>
      </c>
      <c r="BO26" s="10" t="s">
        <v>460</v>
      </c>
      <c r="BP26" s="10" t="s">
        <v>461</v>
      </c>
      <c r="BQ26" s="10"/>
      <c r="BR26" s="10" t="s">
        <v>7</v>
      </c>
      <c r="BZ26" s="583" t="s">
        <v>1317</v>
      </c>
      <c r="CA26" s="584" t="str">
        <f t="shared" si="0"/>
        <v>1205880</v>
      </c>
      <c r="CB26" s="585" t="s">
        <v>666</v>
      </c>
      <c r="CD26" s="108"/>
      <c r="CE26" s="108"/>
      <c r="CF26" s="108"/>
      <c r="CG26" s="23"/>
      <c r="CH26" s="49" t="s">
        <v>257</v>
      </c>
      <c r="CI26" s="49" t="s">
        <v>19</v>
      </c>
      <c r="CJ26" s="49">
        <v>13</v>
      </c>
      <c r="CK26" s="49" t="s">
        <v>216</v>
      </c>
      <c r="CL26" s="49" t="s">
        <v>90</v>
      </c>
      <c r="CM26" s="49"/>
      <c r="CN26" s="49" t="s">
        <v>601</v>
      </c>
      <c r="CO26" s="50" t="s">
        <v>256</v>
      </c>
      <c r="CP26" s="51">
        <f>記入シート1!AN39*10000</f>
        <v>0</v>
      </c>
      <c r="CQ26" s="2"/>
      <c r="CR26" s="52"/>
      <c r="CS26" s="52"/>
      <c r="CT26" s="52"/>
      <c r="CU26" s="52"/>
      <c r="CV26" s="10">
        <f t="shared" si="1"/>
        <v>0</v>
      </c>
      <c r="CW26" s="34" t="s">
        <v>719</v>
      </c>
      <c r="CX26" s="34"/>
      <c r="CY26" s="95"/>
      <c r="CZ26" s="220"/>
      <c r="DA26" s="95"/>
      <c r="DB26" s="34" t="str">
        <f t="shared" si="3"/>
        <v>001</v>
      </c>
      <c r="DC26" s="81" t="s">
        <v>255</v>
      </c>
      <c r="DD26" s="96"/>
      <c r="DE26" s="64"/>
      <c r="DF26" s="64"/>
      <c r="DG26" s="64"/>
      <c r="DH26" s="435" t="s">
        <v>891</v>
      </c>
      <c r="DI26" s="436" t="s">
        <v>1054</v>
      </c>
      <c r="DJ26" s="269"/>
      <c r="DK26" s="75" t="str">
        <f t="shared" si="2"/>
        <v>106022YR</v>
      </c>
      <c r="DL26" s="78" t="s">
        <v>880</v>
      </c>
      <c r="DM26" s="78" t="s">
        <v>1056</v>
      </c>
      <c r="DN26" s="227">
        <f>AP148</f>
        <v>11013</v>
      </c>
      <c r="DO26" s="18"/>
      <c r="DP26" s="83" t="s">
        <v>1269</v>
      </c>
      <c r="DQ26" s="83" t="s">
        <v>1146</v>
      </c>
      <c r="DR26" s="83" t="s">
        <v>1252</v>
      </c>
      <c r="DS26" s="83" t="s">
        <v>1278</v>
      </c>
      <c r="DT26" s="359" t="s">
        <v>1280</v>
      </c>
      <c r="DU26" s="361"/>
      <c r="DV26" s="23"/>
      <c r="DX26" s="85"/>
      <c r="DY26" s="85"/>
    </row>
    <row r="27" spans="1:129" ht="19.5" customHeight="1">
      <c r="A27" s="111"/>
      <c r="B27" s="181"/>
      <c r="C27" s="1242"/>
      <c r="D27" s="1243"/>
      <c r="E27" s="1243"/>
      <c r="F27" s="1243"/>
      <c r="G27" s="1243"/>
      <c r="H27" s="1243"/>
      <c r="I27" s="1244"/>
      <c r="J27" s="1281"/>
      <c r="K27" s="2192"/>
      <c r="L27" s="2196"/>
      <c r="M27" s="2197"/>
      <c r="N27" s="2198"/>
      <c r="O27" s="2201"/>
      <c r="P27" s="2202"/>
      <c r="Q27" s="2201"/>
      <c r="R27" s="2204"/>
      <c r="S27" s="2204"/>
      <c r="T27" s="2202"/>
      <c r="U27" s="2201"/>
      <c r="V27" s="2204"/>
      <c r="W27" s="2204"/>
      <c r="X27" s="2202"/>
      <c r="Y27" s="2201"/>
      <c r="Z27" s="2204"/>
      <c r="AA27" s="2204"/>
      <c r="AB27" s="2202"/>
      <c r="AC27" s="2201"/>
      <c r="AD27" s="2204"/>
      <c r="AE27" s="2204"/>
      <c r="AF27" s="2202"/>
      <c r="AG27" s="2201"/>
      <c r="AH27" s="2204"/>
      <c r="AI27" s="2204"/>
      <c r="AJ27" s="2202"/>
      <c r="AK27" s="2180"/>
      <c r="AL27" s="2181"/>
      <c r="AM27" s="2181"/>
      <c r="AN27" s="2181"/>
      <c r="AO27" s="2181"/>
      <c r="AP27" s="2181"/>
      <c r="AQ27" s="2181"/>
      <c r="AR27" s="2181"/>
      <c r="AS27" s="2181"/>
      <c r="AT27" s="2182"/>
      <c r="AU27" s="171"/>
      <c r="AV27" s="20"/>
      <c r="AW27" s="427">
        <f>AV29*1</f>
        <v>1</v>
      </c>
      <c r="AX27" s="427" t="str">
        <f>IF(AV29=TRUE,"交通系","")</f>
        <v>交通系</v>
      </c>
      <c r="AY27" s="427" t="str">
        <f>TEXT(BR27,"000")</f>
        <v>107</v>
      </c>
      <c r="AZ27" s="427">
        <f>AW27</f>
        <v>1</v>
      </c>
      <c r="BA27" s="390" t="str">
        <f>IF(O29="2回入金","92",IF(O29="早期2回","R2",IF(O29="早期3回","R3",IF(O29="早期4回","R4",IF(O29="早期6回","R6","")))))</f>
        <v>92</v>
      </c>
      <c r="BB27" s="428" t="str">
        <f>AZ14</f>
        <v>14</v>
      </c>
      <c r="BC27" s="428" t="s">
        <v>1895</v>
      </c>
      <c r="BD27" s="390">
        <f>ROW(C29)</f>
        <v>29</v>
      </c>
      <c r="BE27" s="390">
        <v>1</v>
      </c>
      <c r="BF27" s="15" t="str">
        <f>BR27&amp;BC27&amp;BE27</f>
        <v>107107011</v>
      </c>
      <c r="BG27" s="429"/>
      <c r="BH27" s="390"/>
      <c r="BI27" s="390">
        <v>10701</v>
      </c>
      <c r="BJ27" s="390">
        <f t="shared" ref="BJ27:BJ36" si="7">AW27</f>
        <v>1</v>
      </c>
      <c r="BK27" s="390">
        <f>AZ27</f>
        <v>1</v>
      </c>
      <c r="BL27" s="2287">
        <f ca="1">IF($AW27=0,"",INDIRECT(ADDRESS($BD27,BL$16)))</f>
        <v>0</v>
      </c>
      <c r="BM27" s="2287">
        <f ca="1">IF($AW27=0,"",INDIRECT(ADDRESS($BD27,BM$16)))</f>
        <v>0</v>
      </c>
      <c r="BN27" s="430">
        <f ca="1">IF($AW27=0,"",INDIRECT(ADDRESS($BD27,BN$16)))</f>
        <v>2.9000000000000001E-2</v>
      </c>
      <c r="BO27" s="430">
        <f ca="1">IF($AW27=0,"",INDIRECT(ADDRESS($BD27,BO$16)))</f>
        <v>0</v>
      </c>
      <c r="BP27" s="388">
        <f t="shared" ref="BP27:BP36" ca="1" si="8">IF($AW27=0,"",INDIRECT(ADDRESS($BD27,BP$16)))</f>
        <v>0</v>
      </c>
      <c r="BQ27" s="390"/>
      <c r="BR27" s="83">
        <v>107</v>
      </c>
      <c r="BZ27" s="583" t="s">
        <v>1355</v>
      </c>
      <c r="CA27" s="584" t="str">
        <f t="shared" si="0"/>
        <v>1205979</v>
      </c>
      <c r="CB27" s="585" t="s">
        <v>667</v>
      </c>
      <c r="CD27" s="108"/>
      <c r="CE27" s="108"/>
      <c r="CF27" s="108"/>
      <c r="CG27" s="23"/>
      <c r="CH27" s="49" t="s">
        <v>391</v>
      </c>
      <c r="CI27" s="49" t="s">
        <v>21</v>
      </c>
      <c r="CJ27" s="49">
        <v>255</v>
      </c>
      <c r="CK27" s="49" t="s">
        <v>216</v>
      </c>
      <c r="CL27" s="49" t="s">
        <v>90</v>
      </c>
      <c r="CM27" s="49"/>
      <c r="CN27" s="49"/>
      <c r="CO27" s="50" t="s">
        <v>254</v>
      </c>
      <c r="CP27" s="51" t="str">
        <f>LEFT(SUBSTITUTE(記入シート1!I40,CHAR(10),"　"),255)</f>
        <v/>
      </c>
      <c r="CQ27" s="2"/>
      <c r="CR27" s="52"/>
      <c r="CS27" s="52"/>
      <c r="CT27" s="52"/>
      <c r="CU27" s="212"/>
      <c r="CV27" s="10">
        <f t="shared" si="1"/>
        <v>0</v>
      </c>
      <c r="CW27" s="34" t="s">
        <v>252</v>
      </c>
      <c r="CX27" s="34" t="s">
        <v>629</v>
      </c>
      <c r="CY27" s="40" t="s">
        <v>737</v>
      </c>
      <c r="CZ27" s="41" t="s">
        <v>349</v>
      </c>
      <c r="DA27" s="221"/>
      <c r="DB27" s="34" t="str">
        <f t="shared" si="3"/>
        <v>001</v>
      </c>
      <c r="DC27" s="81" t="s">
        <v>253</v>
      </c>
      <c r="DD27" s="96"/>
      <c r="DE27" s="64"/>
      <c r="DF27" s="64"/>
      <c r="DG27" s="64"/>
      <c r="DH27" s="435" t="s">
        <v>891</v>
      </c>
      <c r="DI27" s="436" t="s">
        <v>1905</v>
      </c>
      <c r="DJ27" s="436" t="s">
        <v>1903</v>
      </c>
      <c r="DK27" s="75" t="str">
        <f t="shared" si="2"/>
        <v>106022YS</v>
      </c>
      <c r="DL27" s="78" t="s">
        <v>880</v>
      </c>
      <c r="DM27" s="78" t="s">
        <v>1934</v>
      </c>
      <c r="DN27" s="438" t="str">
        <f>IF(記入シート1!AV69=TRUE,記入シート1!AV36,記入シート1!AV72)</f>
        <v>00</v>
      </c>
      <c r="DO27" s="18"/>
      <c r="DP27" s="83" t="s">
        <v>1269</v>
      </c>
      <c r="DQ27" s="83" t="s">
        <v>1147</v>
      </c>
      <c r="DR27" s="83" t="s">
        <v>1112</v>
      </c>
      <c r="DS27" s="83" t="s">
        <v>1276</v>
      </c>
      <c r="DT27" s="359" t="s">
        <v>1111</v>
      </c>
      <c r="DU27" s="361"/>
      <c r="DV27" s="23"/>
      <c r="DX27" s="85"/>
      <c r="DY27" s="85"/>
    </row>
    <row r="28" spans="1:129" ht="19.5" customHeight="1">
      <c r="A28" s="111"/>
      <c r="B28" s="181"/>
      <c r="C28" s="2281" t="s">
        <v>1400</v>
      </c>
      <c r="D28" s="2282"/>
      <c r="E28" s="2282"/>
      <c r="F28" s="2282"/>
      <c r="G28" s="2282"/>
      <c r="H28" s="2282"/>
      <c r="I28" s="2282"/>
      <c r="J28" s="378"/>
      <c r="K28" s="378"/>
      <c r="L28" s="385"/>
      <c r="M28" s="562"/>
      <c r="N28" s="374"/>
      <c r="O28" s="374"/>
      <c r="P28" s="374"/>
      <c r="Q28" s="374"/>
      <c r="R28" s="374"/>
      <c r="S28" s="374"/>
      <c r="T28" s="374"/>
      <c r="U28" s="375"/>
      <c r="V28" s="373"/>
      <c r="W28" s="373"/>
      <c r="X28" s="373"/>
      <c r="Y28" s="373"/>
      <c r="Z28" s="373"/>
      <c r="AA28" s="517"/>
      <c r="AB28" s="517"/>
      <c r="AC28" s="517"/>
      <c r="AD28" s="517"/>
      <c r="AE28" s="517"/>
      <c r="AF28" s="490"/>
      <c r="AG28" s="490"/>
      <c r="AH28" s="490"/>
      <c r="AI28" s="490"/>
      <c r="AJ28" s="490"/>
      <c r="AK28" s="490"/>
      <c r="AL28" s="490"/>
      <c r="AM28" s="490"/>
      <c r="AN28" s="490"/>
      <c r="AO28" s="490"/>
      <c r="AP28" s="490"/>
      <c r="AQ28" s="490"/>
      <c r="AR28" s="490"/>
      <c r="AS28" s="490"/>
      <c r="AT28" s="491"/>
      <c r="AU28" s="171"/>
      <c r="AV28" s="492" t="b">
        <f>IF(SUMPRODUCT((AV29:AV33)*1)=0,FALSE,TRUE)</f>
        <v>1</v>
      </c>
      <c r="AW28" s="387">
        <f>AW27</f>
        <v>1</v>
      </c>
      <c r="AX28" s="387" t="str">
        <f>IF(AV29=TRUE,"交通系 処理未了分","")</f>
        <v>交通系 処理未了分</v>
      </c>
      <c r="AY28" s="387"/>
      <c r="AZ28" s="387"/>
      <c r="BA28" s="83"/>
      <c r="BB28" s="83"/>
      <c r="BC28" s="84" t="s">
        <v>1896</v>
      </c>
      <c r="BD28" s="390">
        <f>BD27</f>
        <v>29</v>
      </c>
      <c r="BE28" s="83">
        <v>2</v>
      </c>
      <c r="BF28" s="15" t="str">
        <f>BR28&amp;BC28&amp;BE28</f>
        <v>107107022</v>
      </c>
      <c r="BG28" s="83"/>
      <c r="BH28" s="83"/>
      <c r="BI28" s="83">
        <v>10701</v>
      </c>
      <c r="BJ28" s="83">
        <f t="shared" si="7"/>
        <v>1</v>
      </c>
      <c r="BK28" s="83">
        <f>AZ27</f>
        <v>1</v>
      </c>
      <c r="BL28" s="2288"/>
      <c r="BM28" s="2288"/>
      <c r="BN28" s="391">
        <f ca="1">IF($AW28=0,"",INDIRECT(ADDRESS($BD28,BN$16)))</f>
        <v>2.9000000000000001E-2</v>
      </c>
      <c r="BO28" s="391">
        <f ca="1">IF($AW28=0,"",INDIRECT(ADDRESS($BD28,BO$16)))</f>
        <v>0</v>
      </c>
      <c r="BP28" s="388">
        <f t="shared" ca="1" si="8"/>
        <v>0</v>
      </c>
      <c r="BQ28" s="431"/>
      <c r="BR28" s="83">
        <v>107</v>
      </c>
      <c r="BZ28" s="583" t="s">
        <v>1356</v>
      </c>
      <c r="CA28" s="584" t="str">
        <f t="shared" si="0"/>
        <v>1205998</v>
      </c>
      <c r="CB28" s="585" t="s">
        <v>668</v>
      </c>
      <c r="CD28" s="108"/>
      <c r="CE28" s="108"/>
      <c r="CF28" s="108"/>
      <c r="CG28" s="23"/>
      <c r="CH28" s="49" t="s">
        <v>251</v>
      </c>
      <c r="CI28" s="49" t="s">
        <v>22</v>
      </c>
      <c r="CJ28" s="49">
        <v>128</v>
      </c>
      <c r="CK28" s="49" t="s">
        <v>216</v>
      </c>
      <c r="CL28" s="49" t="s">
        <v>90</v>
      </c>
      <c r="CM28" s="49"/>
      <c r="CN28" s="49"/>
      <c r="CO28" s="50" t="s">
        <v>250</v>
      </c>
      <c r="CP28" s="51" t="str">
        <f>ASC(記入シート1!I42)</f>
        <v/>
      </c>
      <c r="CQ28" s="2"/>
      <c r="CR28" s="52"/>
      <c r="CS28" s="52"/>
      <c r="CT28" s="52"/>
      <c r="CU28" s="212"/>
      <c r="CV28" s="10">
        <f t="shared" si="1"/>
        <v>0</v>
      </c>
      <c r="CW28" s="34" t="s">
        <v>720</v>
      </c>
      <c r="CX28" s="34"/>
      <c r="CY28" s="40"/>
      <c r="CZ28" s="41"/>
      <c r="DA28" s="40"/>
      <c r="DB28" s="34" t="str">
        <f t="shared" si="3"/>
        <v>001</v>
      </c>
      <c r="DC28" s="81" t="s">
        <v>249</v>
      </c>
      <c r="DD28" s="96"/>
      <c r="DE28" s="64"/>
      <c r="DF28" s="64"/>
      <c r="DG28" s="64"/>
      <c r="DH28" s="435" t="s">
        <v>891</v>
      </c>
      <c r="DI28" s="436" t="s">
        <v>1904</v>
      </c>
      <c r="DJ28" s="436" t="s">
        <v>1906</v>
      </c>
      <c r="DK28" s="75" t="str">
        <f t="shared" si="2"/>
        <v>106022YT</v>
      </c>
      <c r="DL28" s="78" t="s">
        <v>880</v>
      </c>
      <c r="DM28" s="78" t="s">
        <v>1935</v>
      </c>
      <c r="DN28" s="438" t="str">
        <f>ASC(記入シート1!AW88)</f>
        <v>3</v>
      </c>
      <c r="DO28" s="29"/>
      <c r="DP28" s="83" t="s">
        <v>1269</v>
      </c>
      <c r="DQ28" s="83" t="s">
        <v>1148</v>
      </c>
      <c r="DR28" s="83" t="s">
        <v>1252</v>
      </c>
      <c r="DS28" s="83" t="s">
        <v>1278</v>
      </c>
      <c r="DT28" s="359" t="s">
        <v>1281</v>
      </c>
      <c r="DU28" s="361"/>
      <c r="DV28" s="23"/>
      <c r="DX28" s="85"/>
      <c r="DY28" s="85"/>
    </row>
    <row r="29" spans="1:129" ht="19.5" customHeight="1">
      <c r="A29" s="111"/>
      <c r="B29" s="181"/>
      <c r="C29" s="1876" t="s">
        <v>1949</v>
      </c>
      <c r="D29" s="1948"/>
      <c r="E29" s="1948"/>
      <c r="F29" s="1948"/>
      <c r="G29" s="1948"/>
      <c r="H29" s="1948"/>
      <c r="I29" s="1948"/>
      <c r="J29" s="1948"/>
      <c r="K29" s="2349"/>
      <c r="L29" s="2289" t="s">
        <v>642</v>
      </c>
      <c r="M29" s="2290"/>
      <c r="N29" s="2291"/>
      <c r="O29" s="2188" t="s">
        <v>1071</v>
      </c>
      <c r="P29" s="2188"/>
      <c r="Q29" s="2205">
        <v>0</v>
      </c>
      <c r="R29" s="2205"/>
      <c r="S29" s="2205"/>
      <c r="T29" s="2205"/>
      <c r="U29" s="2176">
        <v>0</v>
      </c>
      <c r="V29" s="2176"/>
      <c r="W29" s="2176"/>
      <c r="X29" s="2176"/>
      <c r="Y29" s="2175">
        <v>2.9000000000000001E-2</v>
      </c>
      <c r="Z29" s="2175"/>
      <c r="AA29" s="2175"/>
      <c r="AB29" s="2175"/>
      <c r="AC29" s="2175">
        <v>0</v>
      </c>
      <c r="AD29" s="2175"/>
      <c r="AE29" s="2175"/>
      <c r="AF29" s="2175"/>
      <c r="AG29" s="2176">
        <v>0</v>
      </c>
      <c r="AH29" s="2176"/>
      <c r="AI29" s="2176"/>
      <c r="AJ29" s="2176"/>
      <c r="AK29" s="2314" t="s">
        <v>5516</v>
      </c>
      <c r="AL29" s="2315"/>
      <c r="AM29" s="2315"/>
      <c r="AN29" s="2279" t="s">
        <v>3625</v>
      </c>
      <c r="AO29" s="2279"/>
      <c r="AP29" s="2308" t="s">
        <v>5126</v>
      </c>
      <c r="AQ29" s="2308"/>
      <c r="AR29" s="2308"/>
      <c r="AS29" s="2309" t="s">
        <v>3652</v>
      </c>
      <c r="AT29" s="2310"/>
      <c r="AU29" s="171"/>
      <c r="AV29" s="386" t="b">
        <v>1</v>
      </c>
      <c r="AW29" s="432">
        <f>AV30*1</f>
        <v>1</v>
      </c>
      <c r="AX29" s="432" t="str">
        <f>IF(AV30=TRUE,"楽天Edy","")</f>
        <v>楽天Edy</v>
      </c>
      <c r="AY29" s="432" t="str">
        <f>TEXT(BR29,"000")</f>
        <v>108</v>
      </c>
      <c r="AZ29" s="432">
        <f>AW29</f>
        <v>1</v>
      </c>
      <c r="BA29" s="431" t="str">
        <f>IF(O30="2回入金","92",IF(O30="早期2回","R2",IF(O30="早期3回","R3",IF(O30="早期4回","R4",IF(O30="早期6回","R6","")))))</f>
        <v>92</v>
      </c>
      <c r="BB29" s="433" t="str">
        <f>AZ14</f>
        <v>14</v>
      </c>
      <c r="BC29" s="433" t="s">
        <v>1897</v>
      </c>
      <c r="BD29" s="390">
        <f>ROW(C30)</f>
        <v>30</v>
      </c>
      <c r="BE29" s="431">
        <v>1</v>
      </c>
      <c r="BF29" s="15" t="str">
        <f>BR29&amp;BC29&amp;BE29</f>
        <v>108108011</v>
      </c>
      <c r="BG29" s="434"/>
      <c r="BH29" s="431"/>
      <c r="BI29" s="83">
        <v>10801</v>
      </c>
      <c r="BJ29" s="83">
        <f t="shared" si="7"/>
        <v>1</v>
      </c>
      <c r="BK29" s="431">
        <f>AZ29</f>
        <v>1</v>
      </c>
      <c r="BL29" s="2287">
        <f ca="1">IF($AW29=0,"",INDIRECT(ADDRESS($BD29,BL$16)))</f>
        <v>0</v>
      </c>
      <c r="BM29" s="2287">
        <f ca="1">IF($AW29=0,"",INDIRECT(ADDRESS($BD29,BM$16)))</f>
        <v>0</v>
      </c>
      <c r="BN29" s="391">
        <f ca="1">IF($AW29=0,"",INDIRECT(ADDRESS($BD29,BN$16)))</f>
        <v>2.9000000000000001E-2</v>
      </c>
      <c r="BO29" s="391">
        <f ca="1">IF($AW29=0,"",INDIRECT(ADDRESS($BD29,BO$16)))</f>
        <v>0</v>
      </c>
      <c r="BP29" s="388">
        <f t="shared" ca="1" si="8"/>
        <v>0</v>
      </c>
      <c r="BQ29" s="431"/>
      <c r="BR29" s="83">
        <v>108</v>
      </c>
      <c r="BZ29" s="583" t="s">
        <v>1318</v>
      </c>
      <c r="CA29" s="584" t="str">
        <f t="shared" si="0"/>
        <v>1206228</v>
      </c>
      <c r="CB29" s="585" t="s">
        <v>669</v>
      </c>
      <c r="CD29" s="108"/>
      <c r="CE29" s="108"/>
      <c r="CF29" s="108"/>
      <c r="CG29" s="23"/>
      <c r="CH29" s="49" t="s">
        <v>881</v>
      </c>
      <c r="CI29" s="49" t="s">
        <v>19</v>
      </c>
      <c r="CJ29" s="49">
        <v>10</v>
      </c>
      <c r="CK29" s="49" t="s">
        <v>216</v>
      </c>
      <c r="CL29" s="49" t="s">
        <v>90</v>
      </c>
      <c r="CM29" s="49"/>
      <c r="CN29" s="49"/>
      <c r="CO29" s="50" t="s">
        <v>882</v>
      </c>
      <c r="CP29" s="51" t="str">
        <f>ASC(記入シート1!X43)</f>
        <v/>
      </c>
      <c r="CQ29" s="2"/>
      <c r="CR29" s="52"/>
      <c r="CS29" s="52"/>
      <c r="CT29" s="52"/>
      <c r="CU29" s="212"/>
      <c r="CV29" s="10">
        <f t="shared" si="1"/>
        <v>0</v>
      </c>
      <c r="CW29" s="34" t="s">
        <v>5</v>
      </c>
      <c r="CX29" s="34" t="s">
        <v>709</v>
      </c>
      <c r="CY29" s="40" t="s">
        <v>738</v>
      </c>
      <c r="CZ29" s="41" t="s">
        <v>343</v>
      </c>
      <c r="DA29" s="40" t="s">
        <v>393</v>
      </c>
      <c r="DB29" s="34" t="str">
        <f t="shared" si="3"/>
        <v>001</v>
      </c>
      <c r="DC29" s="81" t="s">
        <v>246</v>
      </c>
      <c r="DD29" s="96"/>
      <c r="DE29" s="64"/>
      <c r="DF29" s="64"/>
      <c r="DG29" s="64"/>
      <c r="DH29" s="435" t="s">
        <v>891</v>
      </c>
      <c r="DI29" s="436" t="s">
        <v>1907</v>
      </c>
      <c r="DJ29" s="38" t="s">
        <v>624</v>
      </c>
      <c r="DK29" s="75" t="str">
        <f t="shared" si="2"/>
        <v>106022YU</v>
      </c>
      <c r="DL29" s="78" t="s">
        <v>880</v>
      </c>
      <c r="DM29" s="78" t="s">
        <v>1936</v>
      </c>
      <c r="DN29" s="227">
        <f>IF(AV110=TRUE,1,0)</f>
        <v>0</v>
      </c>
      <c r="DO29" s="18"/>
      <c r="DP29" s="83" t="s">
        <v>1269</v>
      </c>
      <c r="DQ29" s="83" t="s">
        <v>1149</v>
      </c>
      <c r="DR29" s="83" t="s">
        <v>1112</v>
      </c>
      <c r="DS29" s="83" t="s">
        <v>1276</v>
      </c>
      <c r="DT29" s="359" t="s">
        <v>1282</v>
      </c>
      <c r="DU29" s="361"/>
      <c r="DV29" s="23"/>
      <c r="DX29" s="85"/>
      <c r="DY29" s="85"/>
    </row>
    <row r="30" spans="1:129" ht="19.5" customHeight="1">
      <c r="A30" s="111"/>
      <c r="B30" s="181"/>
      <c r="C30" s="1876" t="s">
        <v>1401</v>
      </c>
      <c r="D30" s="1948"/>
      <c r="E30" s="1948"/>
      <c r="F30" s="1948"/>
      <c r="G30" s="1948"/>
      <c r="H30" s="1948"/>
      <c r="I30" s="1948"/>
      <c r="J30" s="1948"/>
      <c r="K30" s="2349"/>
      <c r="L30" s="2289" t="s">
        <v>642</v>
      </c>
      <c r="M30" s="2290"/>
      <c r="N30" s="2291"/>
      <c r="O30" s="2085" t="s">
        <v>1071</v>
      </c>
      <c r="P30" s="2085"/>
      <c r="Q30" s="2205">
        <v>0</v>
      </c>
      <c r="R30" s="2205"/>
      <c r="S30" s="2205"/>
      <c r="T30" s="2205"/>
      <c r="U30" s="2176">
        <v>0</v>
      </c>
      <c r="V30" s="2176"/>
      <c r="W30" s="2176"/>
      <c r="X30" s="2176"/>
      <c r="Y30" s="2175">
        <v>2.9000000000000001E-2</v>
      </c>
      <c r="Z30" s="2175"/>
      <c r="AA30" s="2175"/>
      <c r="AB30" s="2175"/>
      <c r="AC30" s="2175">
        <v>0</v>
      </c>
      <c r="AD30" s="2175"/>
      <c r="AE30" s="2175"/>
      <c r="AF30" s="2175"/>
      <c r="AG30" s="2176">
        <v>0</v>
      </c>
      <c r="AH30" s="2176"/>
      <c r="AI30" s="2176"/>
      <c r="AJ30" s="2176"/>
      <c r="AK30" s="2316" t="s">
        <v>5517</v>
      </c>
      <c r="AL30" s="2278"/>
      <c r="AM30" s="2278"/>
      <c r="AN30" s="2309" t="s">
        <v>5758</v>
      </c>
      <c r="AO30" s="2309"/>
      <c r="AP30" s="2308" t="s">
        <v>5126</v>
      </c>
      <c r="AQ30" s="2308"/>
      <c r="AR30" s="2308"/>
      <c r="AS30" s="2309" t="s">
        <v>3652</v>
      </c>
      <c r="AT30" s="2310"/>
      <c r="AU30" s="171"/>
      <c r="AV30" s="386" t="b">
        <v>1</v>
      </c>
      <c r="AW30" s="387">
        <f>AW29</f>
        <v>1</v>
      </c>
      <c r="AX30" s="387" t="str">
        <f>IF(AV30=TRUE,"楽天Edy 処理未了分","")</f>
        <v>楽天Edy 処理未了分</v>
      </c>
      <c r="AY30" s="387"/>
      <c r="AZ30" s="387"/>
      <c r="BA30" s="83"/>
      <c r="BB30" s="83"/>
      <c r="BC30" s="84" t="s">
        <v>1898</v>
      </c>
      <c r="BD30" s="390">
        <f>BD29</f>
        <v>30</v>
      </c>
      <c r="BE30" s="83">
        <v>2</v>
      </c>
      <c r="BF30" s="15" t="str">
        <f>BR30&amp;BC30&amp;BE30</f>
        <v>108108022</v>
      </c>
      <c r="BG30" s="83"/>
      <c r="BH30" s="83"/>
      <c r="BI30" s="83">
        <v>10801</v>
      </c>
      <c r="BJ30" s="83">
        <f t="shared" si="7"/>
        <v>1</v>
      </c>
      <c r="BK30" s="83">
        <f>AZ29</f>
        <v>1</v>
      </c>
      <c r="BL30" s="2288"/>
      <c r="BM30" s="2288"/>
      <c r="BN30" s="391">
        <f t="shared" ref="BN30:BO36" ca="1" si="9">IF($AW30=0,"",INDIRECT(ADDRESS($BD30,BN$16)))</f>
        <v>2.9000000000000001E-2</v>
      </c>
      <c r="BO30" s="391">
        <f ca="1">IF($AW30=0,"",INDIRECT(ADDRESS($BD30,BO$16)))</f>
        <v>0</v>
      </c>
      <c r="BP30" s="388">
        <f t="shared" ca="1" si="8"/>
        <v>0</v>
      </c>
      <c r="BQ30" s="431"/>
      <c r="BR30" s="83">
        <v>108</v>
      </c>
      <c r="BZ30" s="583" t="s">
        <v>1319</v>
      </c>
      <c r="CA30" s="584" t="str">
        <f t="shared" si="0"/>
        <v>1206333</v>
      </c>
      <c r="CB30" s="585" t="s">
        <v>670</v>
      </c>
      <c r="CD30" s="108"/>
      <c r="CE30" s="108"/>
      <c r="CF30" s="108"/>
      <c r="CG30" s="23"/>
      <c r="CH30" s="49" t="s">
        <v>245</v>
      </c>
      <c r="CI30" s="49" t="s">
        <v>22</v>
      </c>
      <c r="CJ30" s="49">
        <v>40</v>
      </c>
      <c r="CK30" s="49" t="s">
        <v>216</v>
      </c>
      <c r="CL30" s="49" t="s">
        <v>90</v>
      </c>
      <c r="CM30" s="49"/>
      <c r="CN30" s="49"/>
      <c r="CO30" s="50" t="s">
        <v>244</v>
      </c>
      <c r="CP30" s="51" t="str">
        <f>ASC(SUBSTITUTE(SUBSTITUTE(SUBSTITUTE(SUBSTITUTE(記入シート1!I48,"　","")," ",""),"ヴ","ウﾞ"),"・",""))&amp;" "&amp;ASC(SUBSTITUTE(SUBSTITUTE(SUBSTITUTE(SUBSTITUTE(記入シート1!O48,"　","")," ",""),"ヴ","ウﾞ"),"・",""))</f>
        <v xml:space="preserve"> </v>
      </c>
      <c r="CQ30" s="2"/>
      <c r="CR30" s="52"/>
      <c r="CS30" s="52"/>
      <c r="CT30" s="52"/>
      <c r="CU30" s="212"/>
      <c r="CV30" s="10">
        <f t="shared" si="1"/>
        <v>0</v>
      </c>
      <c r="CW30" s="34" t="s">
        <v>721</v>
      </c>
      <c r="CX30" s="34"/>
      <c r="CY30" s="40"/>
      <c r="CZ30" s="41"/>
      <c r="DA30" s="40"/>
      <c r="DB30" s="34" t="str">
        <f t="shared" si="3"/>
        <v>001</v>
      </c>
      <c r="DC30" s="81" t="s">
        <v>243</v>
      </c>
      <c r="DD30" s="96"/>
      <c r="DE30" s="64"/>
      <c r="DF30" s="64"/>
      <c r="DG30" s="64"/>
      <c r="DH30" s="435" t="s">
        <v>891</v>
      </c>
      <c r="DI30" s="436" t="s">
        <v>1908</v>
      </c>
      <c r="DJ30" s="38" t="s">
        <v>624</v>
      </c>
      <c r="DK30" s="75" t="str">
        <f t="shared" si="2"/>
        <v>106022YV</v>
      </c>
      <c r="DL30" s="78" t="s">
        <v>880</v>
      </c>
      <c r="DM30" s="78" t="s">
        <v>1937</v>
      </c>
      <c r="DN30" s="227">
        <f>IF(AV111=TRUE,1,0)</f>
        <v>0</v>
      </c>
      <c r="DO30" s="18"/>
      <c r="DP30" s="83" t="s">
        <v>1269</v>
      </c>
      <c r="DQ30" s="83" t="s">
        <v>1150</v>
      </c>
      <c r="DR30" s="83" t="s">
        <v>1252</v>
      </c>
      <c r="DS30" s="83" t="s">
        <v>1278</v>
      </c>
      <c r="DT30" s="359" t="s">
        <v>1283</v>
      </c>
      <c r="DU30" s="361"/>
      <c r="DV30" s="23"/>
      <c r="DX30" s="85"/>
      <c r="DY30" s="85"/>
    </row>
    <row r="31" spans="1:129" ht="19.5" customHeight="1">
      <c r="A31" s="354"/>
      <c r="B31" s="181"/>
      <c r="C31" s="2281" t="s">
        <v>1971</v>
      </c>
      <c r="D31" s="2282"/>
      <c r="E31" s="2282"/>
      <c r="F31" s="2282"/>
      <c r="G31" s="2282"/>
      <c r="H31" s="2282"/>
      <c r="I31" s="2283"/>
      <c r="J31" s="378"/>
      <c r="K31" s="378"/>
      <c r="L31" s="2311" t="s">
        <v>642</v>
      </c>
      <c r="M31" s="2312"/>
      <c r="N31" s="2313"/>
      <c r="O31" s="2188" t="s">
        <v>1071</v>
      </c>
      <c r="P31" s="2188"/>
      <c r="Q31" s="2205">
        <v>0</v>
      </c>
      <c r="R31" s="2205"/>
      <c r="S31" s="2205"/>
      <c r="T31" s="2205"/>
      <c r="U31" s="2176">
        <v>0</v>
      </c>
      <c r="V31" s="2176"/>
      <c r="W31" s="2176"/>
      <c r="X31" s="2176"/>
      <c r="Y31" s="2175">
        <v>2.9000000000000001E-2</v>
      </c>
      <c r="Z31" s="2175"/>
      <c r="AA31" s="2175"/>
      <c r="AB31" s="2175"/>
      <c r="AC31" s="2175">
        <v>0</v>
      </c>
      <c r="AD31" s="2175"/>
      <c r="AE31" s="2175"/>
      <c r="AF31" s="2175"/>
      <c r="AG31" s="2176">
        <v>0</v>
      </c>
      <c r="AH31" s="2176"/>
      <c r="AI31" s="2176"/>
      <c r="AJ31" s="2176"/>
      <c r="AK31" s="1607" t="s">
        <v>5517</v>
      </c>
      <c r="AL31" s="1608"/>
      <c r="AM31" s="1608"/>
      <c r="AN31" s="1609" t="s">
        <v>5518</v>
      </c>
      <c r="AO31" s="1609"/>
      <c r="AP31" s="2308" t="s">
        <v>5126</v>
      </c>
      <c r="AQ31" s="2308"/>
      <c r="AR31" s="2308"/>
      <c r="AS31" s="2309" t="s">
        <v>3652</v>
      </c>
      <c r="AT31" s="2310"/>
      <c r="AU31" s="171"/>
      <c r="AV31" s="386" t="b">
        <v>1</v>
      </c>
      <c r="AW31" s="387">
        <f>AV31*1</f>
        <v>1</v>
      </c>
      <c r="AX31" s="427" t="str">
        <f>IF(AV31=TRUE,"iD","")</f>
        <v>iD</v>
      </c>
      <c r="AY31" s="432" t="str">
        <f>TEXT(BR31,"000")</f>
        <v>109</v>
      </c>
      <c r="AZ31" s="432">
        <f>AW31</f>
        <v>1</v>
      </c>
      <c r="BA31" s="431" t="str">
        <f>IF(O31="2回入金","92",IF(O31="早期2回","R2",IF(O31="早期3回","R3",IF(O31="早期4回","R4",IF(O31="早期6回","R6","")))))</f>
        <v>92</v>
      </c>
      <c r="BB31" s="84" t="str">
        <f>AZ14</f>
        <v>14</v>
      </c>
      <c r="BC31" s="84" t="s">
        <v>1977</v>
      </c>
      <c r="BD31" s="390">
        <f>ROW(C31)</f>
        <v>31</v>
      </c>
      <c r="BE31" s="390">
        <v>1</v>
      </c>
      <c r="BF31" s="15" t="str">
        <f t="shared" ref="BF31:BF36" si="10">BR31&amp;BC31&amp;BE31</f>
        <v>109109011</v>
      </c>
      <c r="BG31" s="494"/>
      <c r="BH31" s="494"/>
      <c r="BI31" s="83">
        <v>10901</v>
      </c>
      <c r="BJ31" s="83">
        <f t="shared" si="7"/>
        <v>1</v>
      </c>
      <c r="BK31" s="431">
        <f>AZ31</f>
        <v>1</v>
      </c>
      <c r="BL31" s="2287">
        <f ca="1">IF($AW31=0,"",INDIRECT(ADDRESS($BD31,BL$16)))</f>
        <v>0</v>
      </c>
      <c r="BM31" s="2287">
        <f ca="1">IF($AW31=0,"",INDIRECT(ADDRESS($BD31,BM$16)))</f>
        <v>0</v>
      </c>
      <c r="BN31" s="391">
        <f t="shared" ca="1" si="9"/>
        <v>2.9000000000000001E-2</v>
      </c>
      <c r="BO31" s="391">
        <f t="shared" ca="1" si="9"/>
        <v>0</v>
      </c>
      <c r="BP31" s="388">
        <f t="shared" ca="1" si="8"/>
        <v>0</v>
      </c>
      <c r="BQ31" s="495"/>
      <c r="BR31" s="83">
        <v>109</v>
      </c>
      <c r="BZ31" s="583" t="s">
        <v>1320</v>
      </c>
      <c r="CA31" s="584" t="str">
        <f t="shared" si="0"/>
        <v>1206897</v>
      </c>
      <c r="CB31" s="585" t="s">
        <v>671</v>
      </c>
      <c r="CD31" s="108"/>
      <c r="CE31" s="108"/>
      <c r="CF31" s="108"/>
      <c r="CG31" s="23"/>
      <c r="CH31" s="49" t="s">
        <v>248</v>
      </c>
      <c r="CI31" s="49" t="s">
        <v>21</v>
      </c>
      <c r="CJ31" s="49">
        <v>40</v>
      </c>
      <c r="CK31" s="49" t="s">
        <v>216</v>
      </c>
      <c r="CL31" s="49" t="s">
        <v>90</v>
      </c>
      <c r="CM31" s="49"/>
      <c r="CN31" s="49"/>
      <c r="CO31" s="50" t="s">
        <v>247</v>
      </c>
      <c r="CP31" s="51" t="str">
        <f>T(SUBSTITUTE(SUBSTITUTE(記入シート1!I49,"　","")," ",""))&amp;"　"&amp;T(SUBSTITUTE(SUBSTITUTE(記入シート1!O49,"　","")," ",""))</f>
        <v>　</v>
      </c>
      <c r="CQ31" s="2"/>
      <c r="CR31" s="52"/>
      <c r="CS31" s="52"/>
      <c r="CT31" s="52"/>
      <c r="CU31" s="212"/>
      <c r="CV31" s="10">
        <f t="shared" si="1"/>
        <v>0</v>
      </c>
      <c r="CW31" s="34" t="s">
        <v>5</v>
      </c>
      <c r="CX31" s="34" t="s">
        <v>698</v>
      </c>
      <c r="CY31" s="40" t="s">
        <v>739</v>
      </c>
      <c r="CZ31" s="41" t="s">
        <v>343</v>
      </c>
      <c r="DA31" s="40"/>
      <c r="DB31" s="34" t="str">
        <f t="shared" si="3"/>
        <v>001</v>
      </c>
      <c r="DC31" s="81" t="s">
        <v>241</v>
      </c>
      <c r="DD31" s="96"/>
      <c r="DE31" s="64"/>
      <c r="DF31" s="64"/>
      <c r="DG31" s="64"/>
      <c r="DH31" s="435" t="s">
        <v>891</v>
      </c>
      <c r="DI31" s="436" t="s">
        <v>1909</v>
      </c>
      <c r="DJ31" s="436"/>
      <c r="DK31" s="75" t="str">
        <f t="shared" si="2"/>
        <v>106022YW</v>
      </c>
      <c r="DL31" s="78" t="s">
        <v>880</v>
      </c>
      <c r="DM31" s="78" t="s">
        <v>1938</v>
      </c>
      <c r="DN31" s="227" t="str">
        <f>ASC(AA136)</f>
        <v>0</v>
      </c>
      <c r="DO31" s="18"/>
      <c r="DP31" s="83" t="s">
        <v>1269</v>
      </c>
      <c r="DQ31" s="83" t="s">
        <v>1151</v>
      </c>
      <c r="DR31" s="83" t="s">
        <v>1112</v>
      </c>
      <c r="DS31" s="83" t="s">
        <v>1276</v>
      </c>
      <c r="DT31" s="359" t="s">
        <v>1284</v>
      </c>
      <c r="DU31" s="361"/>
      <c r="DV31" s="23"/>
      <c r="DX31" s="85"/>
      <c r="DY31" s="85"/>
    </row>
    <row r="32" spans="1:129" ht="19.5" customHeight="1">
      <c r="A32" s="354"/>
      <c r="B32" s="181"/>
      <c r="C32" s="2281" t="s">
        <v>1973</v>
      </c>
      <c r="D32" s="2282"/>
      <c r="E32" s="2282"/>
      <c r="F32" s="2282"/>
      <c r="G32" s="2282"/>
      <c r="H32" s="2282"/>
      <c r="I32" s="2283"/>
      <c r="J32" s="378"/>
      <c r="K32" s="378"/>
      <c r="L32" s="2311" t="s">
        <v>642</v>
      </c>
      <c r="M32" s="2312"/>
      <c r="N32" s="2313"/>
      <c r="O32" s="2188" t="s">
        <v>1071</v>
      </c>
      <c r="P32" s="2188"/>
      <c r="Q32" s="2205">
        <v>0</v>
      </c>
      <c r="R32" s="2205"/>
      <c r="S32" s="2205"/>
      <c r="T32" s="2205"/>
      <c r="U32" s="2176">
        <v>0</v>
      </c>
      <c r="V32" s="2176"/>
      <c r="W32" s="2176"/>
      <c r="X32" s="2176"/>
      <c r="Y32" s="2175">
        <v>2.9000000000000001E-2</v>
      </c>
      <c r="Z32" s="2175"/>
      <c r="AA32" s="2175"/>
      <c r="AB32" s="2175"/>
      <c r="AC32" s="2175">
        <v>0</v>
      </c>
      <c r="AD32" s="2175"/>
      <c r="AE32" s="2175"/>
      <c r="AF32" s="2175"/>
      <c r="AG32" s="2176">
        <v>0</v>
      </c>
      <c r="AH32" s="2176"/>
      <c r="AI32" s="2176"/>
      <c r="AJ32" s="2176"/>
      <c r="AK32" s="1607" t="s">
        <v>5517</v>
      </c>
      <c r="AL32" s="1608"/>
      <c r="AM32" s="1608"/>
      <c r="AN32" s="2309" t="s">
        <v>3625</v>
      </c>
      <c r="AO32" s="2309"/>
      <c r="AP32" s="2308" t="s">
        <v>5126</v>
      </c>
      <c r="AQ32" s="2308"/>
      <c r="AR32" s="2308"/>
      <c r="AS32" s="2309" t="s">
        <v>3652</v>
      </c>
      <c r="AT32" s="2310"/>
      <c r="AU32" s="171"/>
      <c r="AV32" s="386" t="b">
        <v>1</v>
      </c>
      <c r="AW32" s="387">
        <f>AW31</f>
        <v>1</v>
      </c>
      <c r="AX32" s="427" t="str">
        <f>IF(AV31=TRUE,"iD 処理未了分","")</f>
        <v>iD 処理未了分</v>
      </c>
      <c r="AY32" s="493"/>
      <c r="AZ32" s="493"/>
      <c r="BA32" s="83"/>
      <c r="BB32" s="83"/>
      <c r="BC32" s="84" t="s">
        <v>1978</v>
      </c>
      <c r="BD32" s="390">
        <f>BD31</f>
        <v>31</v>
      </c>
      <c r="BE32" s="83">
        <v>2</v>
      </c>
      <c r="BF32" s="15" t="str">
        <f t="shared" si="10"/>
        <v>109109022</v>
      </c>
      <c r="BG32" s="494"/>
      <c r="BH32" s="494"/>
      <c r="BI32" s="83">
        <v>10901</v>
      </c>
      <c r="BJ32" s="83">
        <f t="shared" si="7"/>
        <v>1</v>
      </c>
      <c r="BK32" s="83">
        <f>AZ31</f>
        <v>1</v>
      </c>
      <c r="BL32" s="2288"/>
      <c r="BM32" s="2288"/>
      <c r="BN32" s="391">
        <f t="shared" ca="1" si="9"/>
        <v>2.9000000000000001E-2</v>
      </c>
      <c r="BO32" s="391">
        <f t="shared" ca="1" si="9"/>
        <v>0</v>
      </c>
      <c r="BP32" s="388">
        <f t="shared" ca="1" si="8"/>
        <v>0</v>
      </c>
      <c r="BQ32" s="495"/>
      <c r="BR32" s="83">
        <v>109</v>
      </c>
      <c r="BZ32" s="583" t="s">
        <v>1357</v>
      </c>
      <c r="CA32" s="584" t="str">
        <f t="shared" si="0"/>
        <v>1206989</v>
      </c>
      <c r="CB32" s="585" t="s">
        <v>672</v>
      </c>
      <c r="CD32" s="108"/>
      <c r="CE32" s="108"/>
      <c r="CF32" s="108"/>
      <c r="CG32" s="23"/>
      <c r="CH32" s="49" t="s">
        <v>242</v>
      </c>
      <c r="CI32" s="49" t="s">
        <v>21</v>
      </c>
      <c r="CJ32" s="49">
        <v>20</v>
      </c>
      <c r="CK32" s="49" t="s">
        <v>216</v>
      </c>
      <c r="CL32" s="49" t="s">
        <v>90</v>
      </c>
      <c r="CM32" s="49"/>
      <c r="CN32" s="49"/>
      <c r="CO32" s="50" t="s">
        <v>394</v>
      </c>
      <c r="CP32" s="51" t="str">
        <f>T(記入シート1!X48)</f>
        <v/>
      </c>
      <c r="CQ32" s="2"/>
      <c r="CR32" s="52"/>
      <c r="CS32" s="52"/>
      <c r="CT32" s="52"/>
      <c r="CU32" s="52"/>
      <c r="CV32" s="10">
        <f t="shared" si="1"/>
        <v>0</v>
      </c>
      <c r="CW32" s="34" t="s">
        <v>239</v>
      </c>
      <c r="CX32" s="34" t="s">
        <v>698</v>
      </c>
      <c r="CY32" s="219"/>
      <c r="CZ32" s="40" t="s">
        <v>359</v>
      </c>
      <c r="DA32" s="40"/>
      <c r="DB32" s="34" t="str">
        <f t="shared" si="3"/>
        <v>001</v>
      </c>
      <c r="DC32" s="81" t="s">
        <v>240</v>
      </c>
      <c r="DD32" s="96"/>
      <c r="DE32" s="64"/>
      <c r="DF32" s="64"/>
      <c r="DG32" s="64"/>
      <c r="DH32" s="435" t="s">
        <v>891</v>
      </c>
      <c r="DI32" s="436" t="s">
        <v>1910</v>
      </c>
      <c r="DJ32" s="436"/>
      <c r="DK32" s="75" t="str">
        <f t="shared" si="2"/>
        <v>106022YX</v>
      </c>
      <c r="DL32" s="78" t="s">
        <v>880</v>
      </c>
      <c r="DM32" s="78" t="s">
        <v>1939</v>
      </c>
      <c r="DN32" s="227" t="str">
        <f>ASC(AA137)</f>
        <v>0</v>
      </c>
      <c r="DO32" s="18"/>
      <c r="DP32" s="83" t="s">
        <v>1269</v>
      </c>
      <c r="DQ32" s="83" t="s">
        <v>1152</v>
      </c>
      <c r="DR32" s="83" t="s">
        <v>1252</v>
      </c>
      <c r="DS32" s="83" t="s">
        <v>1278</v>
      </c>
      <c r="DT32" s="359" t="s">
        <v>1285</v>
      </c>
      <c r="DU32" s="361"/>
      <c r="DV32" s="23"/>
      <c r="DX32" s="85"/>
      <c r="DY32" s="85"/>
    </row>
    <row r="33" spans="1:129" ht="19.5" customHeight="1">
      <c r="A33" s="354"/>
      <c r="B33" s="181"/>
      <c r="C33" s="2292" t="s">
        <v>1975</v>
      </c>
      <c r="D33" s="2293"/>
      <c r="E33" s="2293"/>
      <c r="F33" s="2293"/>
      <c r="G33" s="2293"/>
      <c r="H33" s="2293"/>
      <c r="I33" s="2294"/>
      <c r="J33" s="834"/>
      <c r="K33" s="781"/>
      <c r="L33" s="2295" t="s">
        <v>642</v>
      </c>
      <c r="M33" s="2296"/>
      <c r="N33" s="2297"/>
      <c r="O33" s="2298" t="s">
        <v>1071</v>
      </c>
      <c r="P33" s="2298"/>
      <c r="Q33" s="2299">
        <v>0</v>
      </c>
      <c r="R33" s="2299"/>
      <c r="S33" s="2299"/>
      <c r="T33" s="2299"/>
      <c r="U33" s="2300">
        <v>0</v>
      </c>
      <c r="V33" s="2300"/>
      <c r="W33" s="2300"/>
      <c r="X33" s="2300"/>
      <c r="Y33" s="2301">
        <v>2.9000000000000001E-2</v>
      </c>
      <c r="Z33" s="2301"/>
      <c r="AA33" s="2301"/>
      <c r="AB33" s="2301"/>
      <c r="AC33" s="2301">
        <v>0</v>
      </c>
      <c r="AD33" s="2301"/>
      <c r="AE33" s="2301"/>
      <c r="AF33" s="2301"/>
      <c r="AG33" s="2300">
        <v>0</v>
      </c>
      <c r="AH33" s="2300"/>
      <c r="AI33" s="2300"/>
      <c r="AJ33" s="2300"/>
      <c r="AK33" s="1607" t="s">
        <v>5517</v>
      </c>
      <c r="AL33" s="1608"/>
      <c r="AM33" s="1608"/>
      <c r="AN33" s="1609" t="s">
        <v>4345</v>
      </c>
      <c r="AO33" s="1609"/>
      <c r="AP33" s="2308" t="s">
        <v>5126</v>
      </c>
      <c r="AQ33" s="2308"/>
      <c r="AR33" s="2308"/>
      <c r="AS33" s="2309" t="s">
        <v>3652</v>
      </c>
      <c r="AT33" s="2310"/>
      <c r="AU33" s="171"/>
      <c r="AV33" s="386" t="b">
        <v>1</v>
      </c>
      <c r="AW33" s="387">
        <f>AV32*1</f>
        <v>1</v>
      </c>
      <c r="AX33" s="427" t="str">
        <f>IF(AV32=TRUE,"WAON","")</f>
        <v>WAON</v>
      </c>
      <c r="AY33" s="432" t="str">
        <f>TEXT(BR33,"000")</f>
        <v>110</v>
      </c>
      <c r="AZ33" s="432">
        <f>AW33</f>
        <v>1</v>
      </c>
      <c r="BA33" s="431" t="str">
        <f>IF(O32="2回入金","92",IF(O32="早期2回","R2",IF(O32="早期3回","R3",IF(O32="早期4回","R4",IF(O32="早期6回","R6","")))))</f>
        <v>92</v>
      </c>
      <c r="BB33" s="84" t="str">
        <f>AZ14</f>
        <v>14</v>
      </c>
      <c r="BC33" s="84" t="s">
        <v>1979</v>
      </c>
      <c r="BD33" s="390">
        <f>ROW(C32)</f>
        <v>32</v>
      </c>
      <c r="BE33" s="390">
        <v>1</v>
      </c>
      <c r="BF33" s="15" t="str">
        <f t="shared" si="10"/>
        <v>110110011</v>
      </c>
      <c r="BG33" s="494"/>
      <c r="BH33" s="494"/>
      <c r="BI33" s="83">
        <v>11001</v>
      </c>
      <c r="BJ33" s="83">
        <f t="shared" si="7"/>
        <v>1</v>
      </c>
      <c r="BK33" s="431">
        <f>AZ33</f>
        <v>1</v>
      </c>
      <c r="BL33" s="2287">
        <f ca="1">IF($AW33=0,"",INDIRECT(ADDRESS($BD33,BL$16)))</f>
        <v>0</v>
      </c>
      <c r="BM33" s="2287">
        <f ca="1">IF($AW33=0,"",INDIRECT(ADDRESS($BD33,BM$16)))</f>
        <v>0</v>
      </c>
      <c r="BN33" s="391">
        <f t="shared" ca="1" si="9"/>
        <v>2.9000000000000001E-2</v>
      </c>
      <c r="BO33" s="391">
        <f t="shared" ca="1" si="9"/>
        <v>0</v>
      </c>
      <c r="BP33" s="388">
        <f t="shared" ca="1" si="8"/>
        <v>0</v>
      </c>
      <c r="BQ33" s="495"/>
      <c r="BR33" s="83">
        <v>110</v>
      </c>
      <c r="BZ33" s="583" t="s">
        <v>1358</v>
      </c>
      <c r="CA33" s="584" t="str">
        <f t="shared" si="0"/>
        <v>1207224</v>
      </c>
      <c r="CB33" s="585" t="s">
        <v>673</v>
      </c>
      <c r="CD33" s="108"/>
      <c r="CE33" s="108"/>
      <c r="CF33" s="108"/>
      <c r="CG33" s="23"/>
      <c r="CH33" s="49" t="s">
        <v>395</v>
      </c>
      <c r="CI33" s="49" t="s">
        <v>63</v>
      </c>
      <c r="CJ33" s="49">
        <v>1</v>
      </c>
      <c r="CK33" s="49" t="s">
        <v>216</v>
      </c>
      <c r="CL33" s="49" t="s">
        <v>90</v>
      </c>
      <c r="CM33" s="49" t="s">
        <v>593</v>
      </c>
      <c r="CN33" s="49"/>
      <c r="CO33" s="50" t="s">
        <v>397</v>
      </c>
      <c r="CP33" s="51">
        <f>記入シート1!AV48</f>
        <v>0</v>
      </c>
      <c r="CQ33" s="2"/>
      <c r="CR33" s="52"/>
      <c r="CS33" s="52"/>
      <c r="CT33" s="52"/>
      <c r="CU33" s="52"/>
      <c r="CV33" s="10">
        <f t="shared" si="1"/>
        <v>0</v>
      </c>
      <c r="CW33" s="34" t="s">
        <v>236</v>
      </c>
      <c r="CX33" s="34" t="s">
        <v>698</v>
      </c>
      <c r="CY33" s="219"/>
      <c r="CZ33" s="40" t="s">
        <v>359</v>
      </c>
      <c r="DA33" s="40"/>
      <c r="DB33" s="34" t="str">
        <f t="shared" si="3"/>
        <v>001</v>
      </c>
      <c r="DC33" s="81" t="s">
        <v>237</v>
      </c>
      <c r="DD33" s="96"/>
      <c r="DE33" s="64"/>
      <c r="DF33" s="64"/>
      <c r="DG33" s="64"/>
      <c r="DH33" s="435" t="s">
        <v>891</v>
      </c>
      <c r="DI33" s="436" t="s">
        <v>1911</v>
      </c>
      <c r="DJ33" s="436"/>
      <c r="DK33" s="75" t="str">
        <f t="shared" si="2"/>
        <v>106022YY</v>
      </c>
      <c r="DL33" s="78" t="s">
        <v>880</v>
      </c>
      <c r="DM33" s="78" t="s">
        <v>1940</v>
      </c>
      <c r="DN33" s="227" t="str">
        <f>ASC(AA135)</f>
        <v>0</v>
      </c>
      <c r="DO33" s="18"/>
      <c r="DP33" s="83" t="s">
        <v>1269</v>
      </c>
      <c r="DQ33" s="83" t="s">
        <v>1153</v>
      </c>
      <c r="DR33" s="83" t="s">
        <v>1273</v>
      </c>
      <c r="DS33" s="83" t="s">
        <v>1286</v>
      </c>
      <c r="DT33" s="359" t="s">
        <v>1287</v>
      </c>
      <c r="DU33" s="360"/>
      <c r="DV33" s="23"/>
      <c r="DX33" s="85"/>
      <c r="DY33" s="85"/>
    </row>
    <row r="34" spans="1:129" ht="19.5" customHeight="1" thickBot="1">
      <c r="A34" s="354"/>
      <c r="B34" s="181"/>
      <c r="C34" s="2446" t="s">
        <v>3834</v>
      </c>
      <c r="D34" s="2447"/>
      <c r="E34" s="2447"/>
      <c r="F34" s="2447"/>
      <c r="G34" s="2447"/>
      <c r="H34" s="2447"/>
      <c r="I34" s="2448"/>
      <c r="J34" s="849"/>
      <c r="K34" s="850"/>
      <c r="L34" s="2449" t="s">
        <v>642</v>
      </c>
      <c r="M34" s="2450"/>
      <c r="N34" s="2451"/>
      <c r="O34" s="2452" t="s">
        <v>1071</v>
      </c>
      <c r="P34" s="2452"/>
      <c r="Q34" s="2302">
        <v>0</v>
      </c>
      <c r="R34" s="2302"/>
      <c r="S34" s="2302"/>
      <c r="T34" s="2302"/>
      <c r="U34" s="2303">
        <v>0</v>
      </c>
      <c r="V34" s="2303"/>
      <c r="W34" s="2303"/>
      <c r="X34" s="2303"/>
      <c r="Y34" s="2304">
        <v>0</v>
      </c>
      <c r="Z34" s="2304"/>
      <c r="AA34" s="2304"/>
      <c r="AB34" s="2304"/>
      <c r="AC34" s="2304">
        <v>0</v>
      </c>
      <c r="AD34" s="2304"/>
      <c r="AE34" s="2304"/>
      <c r="AF34" s="2304"/>
      <c r="AG34" s="2303">
        <v>0</v>
      </c>
      <c r="AH34" s="2303"/>
      <c r="AI34" s="2303"/>
      <c r="AJ34" s="2303"/>
      <c r="AK34" s="1610" t="s">
        <v>5517</v>
      </c>
      <c r="AL34" s="1611"/>
      <c r="AM34" s="1611"/>
      <c r="AN34" s="1612" t="s">
        <v>4345</v>
      </c>
      <c r="AO34" s="1612"/>
      <c r="AP34" s="2305" t="s">
        <v>3651</v>
      </c>
      <c r="AQ34" s="2305"/>
      <c r="AR34" s="2305"/>
      <c r="AS34" s="2306" t="s">
        <v>3652</v>
      </c>
      <c r="AT34" s="2307"/>
      <c r="AU34" s="171"/>
      <c r="AV34" s="20" t="b">
        <v>1</v>
      </c>
      <c r="AW34" s="387">
        <f>AW33</f>
        <v>1</v>
      </c>
      <c r="AX34" s="427" t="str">
        <f>IF(AV32=TRUE,"WAON 処理未了分","")</f>
        <v>WAON 処理未了分</v>
      </c>
      <c r="AY34" s="493"/>
      <c r="AZ34" s="493"/>
      <c r="BA34" s="83"/>
      <c r="BB34" s="83"/>
      <c r="BC34" s="84" t="s">
        <v>1980</v>
      </c>
      <c r="BD34" s="390">
        <f>BD33</f>
        <v>32</v>
      </c>
      <c r="BE34" s="83">
        <v>2</v>
      </c>
      <c r="BF34" s="15" t="str">
        <f t="shared" si="10"/>
        <v>110110022</v>
      </c>
      <c r="BG34" s="494"/>
      <c r="BH34" s="494"/>
      <c r="BI34" s="83">
        <v>11001</v>
      </c>
      <c r="BJ34" s="83">
        <f t="shared" si="7"/>
        <v>1</v>
      </c>
      <c r="BK34" s="83">
        <f>AZ33</f>
        <v>1</v>
      </c>
      <c r="BL34" s="2288"/>
      <c r="BM34" s="2288"/>
      <c r="BN34" s="391">
        <f t="shared" ca="1" si="9"/>
        <v>2.9000000000000001E-2</v>
      </c>
      <c r="BO34" s="391">
        <f t="shared" ca="1" si="9"/>
        <v>0</v>
      </c>
      <c r="BP34" s="388">
        <f t="shared" ca="1" si="8"/>
        <v>0</v>
      </c>
      <c r="BQ34" s="495"/>
      <c r="BR34" s="83">
        <v>110</v>
      </c>
      <c r="BZ34" s="583" t="s">
        <v>1359</v>
      </c>
      <c r="CA34" s="584" t="str">
        <f t="shared" si="0"/>
        <v>1207256</v>
      </c>
      <c r="CB34" s="585" t="s">
        <v>674</v>
      </c>
      <c r="CD34" s="108"/>
      <c r="CE34" s="108"/>
      <c r="CF34" s="108"/>
      <c r="CG34" s="23"/>
      <c r="CH34" s="49" t="s">
        <v>400</v>
      </c>
      <c r="CI34" s="49" t="s">
        <v>63</v>
      </c>
      <c r="CJ34" s="49">
        <v>8</v>
      </c>
      <c r="CK34" s="49" t="s">
        <v>216</v>
      </c>
      <c r="CL34" s="49" t="s">
        <v>90</v>
      </c>
      <c r="CM34" s="49"/>
      <c r="CN34" s="49"/>
      <c r="CO34" s="50" t="s">
        <v>238</v>
      </c>
      <c r="CP34" s="51" t="str">
        <f>RIGHT("0000"&amp;記入シート1!AI49,4)&amp;RIGHT("00"&amp;記入シート1!AM49,2)&amp;RIGHT("00"&amp;記入シート1!AQ49,2)</f>
        <v>00000000</v>
      </c>
      <c r="CQ34" s="2"/>
      <c r="CR34" s="52"/>
      <c r="CS34" s="52"/>
      <c r="CT34" s="52"/>
      <c r="CU34" s="212"/>
      <c r="CV34" s="10">
        <f t="shared" si="1"/>
        <v>0</v>
      </c>
      <c r="CW34" s="34" t="s">
        <v>722</v>
      </c>
      <c r="CX34" s="34"/>
      <c r="CY34" s="40"/>
      <c r="CZ34" s="41"/>
      <c r="DA34" s="40"/>
      <c r="DB34" s="34" t="str">
        <f t="shared" si="3"/>
        <v>001</v>
      </c>
      <c r="DC34" s="81" t="s">
        <v>234</v>
      </c>
      <c r="DD34" s="34"/>
      <c r="DE34" s="64"/>
      <c r="DF34" s="64"/>
      <c r="DG34" s="64"/>
      <c r="DH34" s="435" t="s">
        <v>891</v>
      </c>
      <c r="DI34" s="436" t="s">
        <v>1985</v>
      </c>
      <c r="DJ34" s="436"/>
      <c r="DK34" s="75" t="str">
        <f t="shared" si="2"/>
        <v>106022YZ</v>
      </c>
      <c r="DL34" s="78" t="s">
        <v>1984</v>
      </c>
      <c r="DM34" s="78" t="s">
        <v>1983</v>
      </c>
      <c r="DN34" s="227">
        <f>IF(AV92=TRUE,1,0)</f>
        <v>0</v>
      </c>
      <c r="DO34" s="18"/>
      <c r="DP34" s="83" t="s">
        <v>1269</v>
      </c>
      <c r="DQ34" s="83" t="s">
        <v>1154</v>
      </c>
      <c r="DR34" s="83" t="s">
        <v>1112</v>
      </c>
      <c r="DS34" s="83" t="s">
        <v>1276</v>
      </c>
      <c r="DT34" s="50" t="s">
        <v>1155</v>
      </c>
      <c r="DU34" s="227">
        <v>1</v>
      </c>
      <c r="DV34" s="23"/>
      <c r="DX34" s="85"/>
      <c r="DY34" s="85"/>
    </row>
    <row r="35" spans="1:129" ht="19.5" hidden="1" customHeight="1">
      <c r="A35" s="354" t="s">
        <v>1234</v>
      </c>
      <c r="B35" s="181"/>
      <c r="C35" s="580"/>
      <c r="D35" s="700"/>
      <c r="E35" s="700"/>
      <c r="F35" s="700"/>
      <c r="G35" s="700"/>
      <c r="H35" s="700"/>
      <c r="I35" s="700"/>
      <c r="J35" s="700"/>
      <c r="K35" s="700"/>
      <c r="L35" s="520"/>
      <c r="M35" s="380"/>
      <c r="N35" s="381"/>
      <c r="O35" s="381"/>
      <c r="P35" s="381"/>
      <c r="Q35" s="2205">
        <v>0</v>
      </c>
      <c r="R35" s="2205"/>
      <c r="S35" s="2205"/>
      <c r="T35" s="2205"/>
      <c r="U35" s="2176">
        <v>0</v>
      </c>
      <c r="V35" s="2176"/>
      <c r="W35" s="2176"/>
      <c r="X35" s="2176"/>
      <c r="Y35" s="2175">
        <v>0</v>
      </c>
      <c r="Z35" s="2175"/>
      <c r="AA35" s="2175"/>
      <c r="AB35" s="2175"/>
      <c r="AC35" s="2175">
        <v>0</v>
      </c>
      <c r="AD35" s="2175"/>
      <c r="AE35" s="2175"/>
      <c r="AF35" s="2175"/>
      <c r="AG35" s="2176">
        <v>0</v>
      </c>
      <c r="AH35" s="2176"/>
      <c r="AI35" s="2176"/>
      <c r="AJ35" s="2176"/>
      <c r="AK35" s="379"/>
      <c r="AL35" s="379"/>
      <c r="AM35" s="379"/>
      <c r="AN35" s="379"/>
      <c r="AO35" s="379"/>
      <c r="AP35" s="379"/>
      <c r="AQ35" s="379"/>
      <c r="AR35" s="379"/>
      <c r="AS35" s="379"/>
      <c r="AT35" s="521"/>
      <c r="AU35" s="171"/>
      <c r="AV35" s="20"/>
      <c r="AW35" s="387">
        <f>AV33*1</f>
        <v>1</v>
      </c>
      <c r="AX35" s="427" t="str">
        <f>IF(AV33=TRUE,"nanaco","")</f>
        <v>nanaco</v>
      </c>
      <c r="AY35" s="432" t="str">
        <f>TEXT(BR35,"000")</f>
        <v>111</v>
      </c>
      <c r="AZ35" s="432">
        <f>AW35</f>
        <v>1</v>
      </c>
      <c r="BA35" s="431" t="str">
        <f>IF(O33="2回入金","92",IF(O33="早期2回","R2",IF(O33="早期3回","R3",IF(O33="早期4回","R4",IF(O33="早期6回","R6","")))))</f>
        <v>92</v>
      </c>
      <c r="BB35" s="84" t="str">
        <f>AZ14</f>
        <v>14</v>
      </c>
      <c r="BC35" s="84" t="s">
        <v>1981</v>
      </c>
      <c r="BD35" s="390">
        <f>ROW(C33)</f>
        <v>33</v>
      </c>
      <c r="BE35" s="390">
        <v>1</v>
      </c>
      <c r="BF35" s="15" t="str">
        <f t="shared" si="10"/>
        <v>111111011</v>
      </c>
      <c r="BG35" s="494"/>
      <c r="BH35" s="494"/>
      <c r="BI35" s="83">
        <v>11101</v>
      </c>
      <c r="BJ35" s="83">
        <f t="shared" si="7"/>
        <v>1</v>
      </c>
      <c r="BK35" s="431">
        <f>AZ35</f>
        <v>1</v>
      </c>
      <c r="BL35" s="2287">
        <f ca="1">IF($AW35=0,"",INDIRECT(ADDRESS($BD35,BL$16)))</f>
        <v>0</v>
      </c>
      <c r="BM35" s="2287">
        <f ca="1">IF($AW35=0,"",INDIRECT(ADDRESS($BD35,BM$16)))</f>
        <v>0</v>
      </c>
      <c r="BN35" s="391">
        <f t="shared" ca="1" si="9"/>
        <v>2.9000000000000001E-2</v>
      </c>
      <c r="BO35" s="391">
        <f t="shared" ca="1" si="9"/>
        <v>0</v>
      </c>
      <c r="BP35" s="388">
        <f t="shared" ca="1" si="8"/>
        <v>0</v>
      </c>
      <c r="BQ35" s="495"/>
      <c r="BR35" s="83">
        <v>111</v>
      </c>
      <c r="BZ35" s="583" t="s">
        <v>1321</v>
      </c>
      <c r="CA35" s="584" t="str">
        <f t="shared" si="0"/>
        <v>1207428</v>
      </c>
      <c r="CB35" s="585" t="s">
        <v>675</v>
      </c>
      <c r="CD35" s="108"/>
      <c r="CE35" s="108"/>
      <c r="CF35" s="108"/>
      <c r="CG35" s="23"/>
      <c r="CH35" s="49" t="s">
        <v>47</v>
      </c>
      <c r="CI35" s="49" t="s">
        <v>22</v>
      </c>
      <c r="CJ35" s="49">
        <v>15</v>
      </c>
      <c r="CK35" s="49" t="s">
        <v>216</v>
      </c>
      <c r="CL35" s="49" t="s">
        <v>90</v>
      </c>
      <c r="CM35" s="49"/>
      <c r="CN35" s="49"/>
      <c r="CO35" s="50" t="s">
        <v>46</v>
      </c>
      <c r="CP35" s="51" t="str">
        <f>ASC(記入シート1!I55)&amp;"-"&amp;ASC(記入シート1!O55)&amp;"-"&amp;ASC(記入シート1!T55)</f>
        <v>--</v>
      </c>
      <c r="CQ35" s="2"/>
      <c r="CR35" s="52"/>
      <c r="CS35" s="52"/>
      <c r="CT35" s="52"/>
      <c r="CU35" s="212"/>
      <c r="CV35" s="10">
        <f t="shared" si="1"/>
        <v>0</v>
      </c>
      <c r="CW35" s="34" t="s">
        <v>231</v>
      </c>
      <c r="CX35" s="34"/>
      <c r="CY35" s="40" t="s">
        <v>736</v>
      </c>
      <c r="CZ35" s="41" t="s">
        <v>343</v>
      </c>
      <c r="DA35" s="40"/>
      <c r="DB35" s="34" t="str">
        <f t="shared" si="3"/>
        <v>001</v>
      </c>
      <c r="DC35" s="81" t="s">
        <v>232</v>
      </c>
      <c r="DD35" s="34"/>
      <c r="DE35" s="64"/>
      <c r="DF35" s="64"/>
      <c r="DG35" s="64"/>
      <c r="DH35" s="435" t="s">
        <v>3198</v>
      </c>
      <c r="DI35" s="436" t="s">
        <v>3199</v>
      </c>
      <c r="DJ35" s="436"/>
      <c r="DK35" s="75" t="str">
        <f t="shared" si="2"/>
        <v>106022ZY</v>
      </c>
      <c r="DL35" s="78" t="s">
        <v>1984</v>
      </c>
      <c r="DM35" s="78" t="s">
        <v>3209</v>
      </c>
      <c r="DN35" s="227" t="str">
        <f>ASC(AA138)</f>
        <v>0</v>
      </c>
      <c r="DO35" s="18"/>
      <c r="DP35" s="83" t="s">
        <v>1269</v>
      </c>
      <c r="DQ35" s="83" t="s">
        <v>1156</v>
      </c>
      <c r="DR35" s="83" t="s">
        <v>1252</v>
      </c>
      <c r="DS35" s="83" t="s">
        <v>1278</v>
      </c>
      <c r="DT35" s="359" t="s">
        <v>1288</v>
      </c>
      <c r="DU35" s="361"/>
      <c r="DV35" s="23"/>
      <c r="DX35" s="85"/>
      <c r="DY35" s="85"/>
    </row>
    <row r="36" spans="1:129" ht="19.5" hidden="1" customHeight="1">
      <c r="A36" s="354" t="s">
        <v>1234</v>
      </c>
      <c r="B36" s="181"/>
      <c r="C36" s="580"/>
      <c r="D36" s="700"/>
      <c r="E36" s="700"/>
      <c r="F36" s="700"/>
      <c r="G36" s="700"/>
      <c r="H36" s="700"/>
      <c r="I36" s="700"/>
      <c r="J36" s="700"/>
      <c r="K36" s="700"/>
      <c r="L36" s="520"/>
      <c r="M36" s="380"/>
      <c r="N36" s="381"/>
      <c r="O36" s="381"/>
      <c r="P36" s="381"/>
      <c r="Q36" s="2205">
        <v>0</v>
      </c>
      <c r="R36" s="2205"/>
      <c r="S36" s="2205"/>
      <c r="T36" s="2205"/>
      <c r="U36" s="2176">
        <v>0</v>
      </c>
      <c r="V36" s="2176"/>
      <c r="W36" s="2176"/>
      <c r="X36" s="2176"/>
      <c r="Y36" s="2175">
        <v>0</v>
      </c>
      <c r="Z36" s="2175"/>
      <c r="AA36" s="2175"/>
      <c r="AB36" s="2175"/>
      <c r="AC36" s="2175">
        <v>0</v>
      </c>
      <c r="AD36" s="2175"/>
      <c r="AE36" s="2175"/>
      <c r="AF36" s="2175"/>
      <c r="AG36" s="2176">
        <v>0</v>
      </c>
      <c r="AH36" s="2176"/>
      <c r="AI36" s="2176"/>
      <c r="AJ36" s="2176"/>
      <c r="AK36" s="379"/>
      <c r="AL36" s="379"/>
      <c r="AM36" s="379"/>
      <c r="AN36" s="379"/>
      <c r="AO36" s="379"/>
      <c r="AP36" s="379"/>
      <c r="AQ36" s="379"/>
      <c r="AR36" s="379"/>
      <c r="AS36" s="379"/>
      <c r="AT36" s="521"/>
      <c r="AU36" s="171"/>
      <c r="AV36" s="20"/>
      <c r="AW36" s="387">
        <f>AW35</f>
        <v>1</v>
      </c>
      <c r="AX36" s="387" t="str">
        <f>IF(AV33=TRUE,"nanaco 処理未了分","")</f>
        <v>nanaco 処理未了分</v>
      </c>
      <c r="AY36" s="493"/>
      <c r="AZ36" s="493"/>
      <c r="BA36" s="83"/>
      <c r="BB36" s="83"/>
      <c r="BC36" s="84" t="s">
        <v>1982</v>
      </c>
      <c r="BD36" s="83">
        <f>BD35</f>
        <v>33</v>
      </c>
      <c r="BE36" s="83">
        <v>2</v>
      </c>
      <c r="BF36" s="15" t="str">
        <f t="shared" si="10"/>
        <v>111111022</v>
      </c>
      <c r="BG36" s="494"/>
      <c r="BH36" s="494"/>
      <c r="BI36" s="83">
        <v>11101</v>
      </c>
      <c r="BJ36" s="83">
        <f t="shared" si="7"/>
        <v>1</v>
      </c>
      <c r="BK36" s="83">
        <f>AZ35</f>
        <v>1</v>
      </c>
      <c r="BL36" s="2288"/>
      <c r="BM36" s="2288"/>
      <c r="BN36" s="391">
        <f t="shared" ca="1" si="9"/>
        <v>2.9000000000000001E-2</v>
      </c>
      <c r="BO36" s="391">
        <f t="shared" ca="1" si="9"/>
        <v>0</v>
      </c>
      <c r="BP36" s="388">
        <f t="shared" ca="1" si="8"/>
        <v>0</v>
      </c>
      <c r="BQ36" s="496"/>
      <c r="BR36" s="83">
        <v>111</v>
      </c>
      <c r="BZ36" s="583" t="s">
        <v>1360</v>
      </c>
      <c r="CA36" s="584" t="str">
        <f t="shared" si="0"/>
        <v>1208450</v>
      </c>
      <c r="CB36" s="585" t="s">
        <v>676</v>
      </c>
      <c r="CD36" s="108"/>
      <c r="CE36" s="108"/>
      <c r="CF36" s="108"/>
      <c r="CG36" s="23"/>
      <c r="CH36" s="49" t="s">
        <v>883</v>
      </c>
      <c r="CI36" s="49" t="s">
        <v>21</v>
      </c>
      <c r="CJ36" s="49">
        <v>255</v>
      </c>
      <c r="CK36" s="49" t="s">
        <v>216</v>
      </c>
      <c r="CL36" s="49" t="s">
        <v>90</v>
      </c>
      <c r="CM36" s="49"/>
      <c r="CN36" s="49"/>
      <c r="CO36" s="50" t="s">
        <v>884</v>
      </c>
      <c r="CP36" s="51"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2"/>
      <c r="CR36" s="52"/>
      <c r="CS36" s="52"/>
      <c r="CT36" s="52"/>
      <c r="CU36" s="212"/>
      <c r="CV36" s="10">
        <f t="shared" si="1"/>
        <v>0</v>
      </c>
      <c r="CW36" s="34" t="s">
        <v>227</v>
      </c>
      <c r="CX36" s="34"/>
      <c r="CY36" s="40" t="s">
        <v>736</v>
      </c>
      <c r="CZ36" s="41" t="s">
        <v>343</v>
      </c>
      <c r="DA36" s="40"/>
      <c r="DB36" s="34" t="str">
        <f t="shared" si="3"/>
        <v>001</v>
      </c>
      <c r="DC36" s="81" t="s">
        <v>228</v>
      </c>
      <c r="DD36" s="34"/>
      <c r="DE36" s="64"/>
      <c r="DF36" s="64"/>
      <c r="DG36" s="64"/>
      <c r="DH36" s="435" t="s">
        <v>3198</v>
      </c>
      <c r="DI36" s="436" t="s">
        <v>3200</v>
      </c>
      <c r="DJ36" s="436"/>
      <c r="DK36" s="75" t="str">
        <f t="shared" si="2"/>
        <v>106022ZX</v>
      </c>
      <c r="DL36" s="78" t="s">
        <v>1984</v>
      </c>
      <c r="DM36" s="78" t="s">
        <v>3210</v>
      </c>
      <c r="DN36" s="227" t="str">
        <f>ASC(V126)</f>
        <v>78980</v>
      </c>
      <c r="DO36" s="18"/>
      <c r="DP36" s="83" t="s">
        <v>1269</v>
      </c>
      <c r="DQ36" s="83" t="s">
        <v>1157</v>
      </c>
      <c r="DR36" s="83" t="s">
        <v>1273</v>
      </c>
      <c r="DS36" s="83" t="s">
        <v>1286</v>
      </c>
      <c r="DT36" s="359" t="s">
        <v>1289</v>
      </c>
      <c r="DU36" s="360"/>
      <c r="DV36" s="23"/>
      <c r="DX36" s="85"/>
      <c r="DY36" s="85"/>
    </row>
    <row r="37" spans="1:129" ht="19.5" hidden="1" customHeight="1">
      <c r="A37" s="354" t="s">
        <v>1234</v>
      </c>
      <c r="B37" s="181"/>
      <c r="C37" s="580"/>
      <c r="D37" s="700"/>
      <c r="E37" s="700"/>
      <c r="F37" s="700"/>
      <c r="G37" s="700"/>
      <c r="H37" s="700"/>
      <c r="I37" s="700"/>
      <c r="J37" s="700"/>
      <c r="K37" s="700"/>
      <c r="L37" s="520"/>
      <c r="M37" s="380"/>
      <c r="N37" s="381"/>
      <c r="O37" s="381"/>
      <c r="P37" s="381"/>
      <c r="Q37" s="2205">
        <v>0</v>
      </c>
      <c r="R37" s="2205"/>
      <c r="S37" s="2205"/>
      <c r="T37" s="2205"/>
      <c r="U37" s="2176">
        <v>0</v>
      </c>
      <c r="V37" s="2176"/>
      <c r="W37" s="2176"/>
      <c r="X37" s="2176"/>
      <c r="Y37" s="2175">
        <v>0</v>
      </c>
      <c r="Z37" s="2175"/>
      <c r="AA37" s="2175"/>
      <c r="AB37" s="2175"/>
      <c r="AC37" s="2175">
        <v>0</v>
      </c>
      <c r="AD37" s="2175"/>
      <c r="AE37" s="2175"/>
      <c r="AF37" s="2175"/>
      <c r="AG37" s="2176">
        <v>0</v>
      </c>
      <c r="AH37" s="2176"/>
      <c r="AI37" s="2176"/>
      <c r="AJ37" s="2176"/>
      <c r="AK37" s="379"/>
      <c r="AL37" s="379"/>
      <c r="AM37" s="379"/>
      <c r="AN37" s="379"/>
      <c r="AO37" s="379"/>
      <c r="AP37" s="379"/>
      <c r="AQ37" s="379"/>
      <c r="AR37" s="379"/>
      <c r="AS37" s="379"/>
      <c r="AT37" s="521"/>
      <c r="AU37" s="171"/>
      <c r="AV37" s="20"/>
      <c r="BZ37" s="583" t="s">
        <v>1322</v>
      </c>
      <c r="CA37" s="584" t="str">
        <f t="shared" si="0"/>
        <v>1208622</v>
      </c>
      <c r="CB37" s="585" t="s">
        <v>1373</v>
      </c>
      <c r="CD37" s="108"/>
      <c r="CE37" s="108"/>
      <c r="CF37" s="108"/>
      <c r="CG37" s="23"/>
      <c r="CH37" s="355" t="s">
        <v>1235</v>
      </c>
      <c r="CI37" s="355" t="s">
        <v>22</v>
      </c>
      <c r="CJ37" s="355">
        <v>8</v>
      </c>
      <c r="CK37" s="355"/>
      <c r="CL37" s="355"/>
      <c r="CM37" s="355"/>
      <c r="CN37" s="355"/>
      <c r="CO37" s="50" t="s">
        <v>1236</v>
      </c>
      <c r="CP37" s="51" t="str">
        <f>ASC(記入シート1!J52&amp;"-"&amp;記入シート1!M52)</f>
        <v>-</v>
      </c>
      <c r="CQ37" s="2"/>
      <c r="CR37" s="52"/>
      <c r="CS37" s="52"/>
      <c r="CT37" s="52"/>
      <c r="CU37" s="212"/>
      <c r="CV37" s="10">
        <f t="shared" si="1"/>
        <v>0</v>
      </c>
      <c r="CW37" s="34" t="s">
        <v>224</v>
      </c>
      <c r="CX37" s="34"/>
      <c r="CY37" s="40" t="s">
        <v>736</v>
      </c>
      <c r="CZ37" s="41" t="s">
        <v>343</v>
      </c>
      <c r="DA37" s="40"/>
      <c r="DB37" s="34" t="str">
        <f t="shared" si="3"/>
        <v>001</v>
      </c>
      <c r="DC37" s="81" t="s">
        <v>225</v>
      </c>
      <c r="DD37" s="34"/>
      <c r="DE37" s="64"/>
      <c r="DF37" s="64"/>
      <c r="DG37" s="64"/>
      <c r="DH37" s="435" t="s">
        <v>3198</v>
      </c>
      <c r="DI37" s="436" t="s">
        <v>3201</v>
      </c>
      <c r="DJ37" s="436"/>
      <c r="DK37" s="75" t="str">
        <f t="shared" si="2"/>
        <v>106022ZW</v>
      </c>
      <c r="DL37" s="78" t="s">
        <v>1984</v>
      </c>
      <c r="DM37" s="78" t="s">
        <v>3211</v>
      </c>
      <c r="DN37" s="227" t="str">
        <f>ASC(V127)</f>
        <v>14000</v>
      </c>
      <c r="DO37" s="18"/>
      <c r="DP37" s="359" t="s">
        <v>1269</v>
      </c>
      <c r="DQ37" s="359" t="s">
        <v>1158</v>
      </c>
      <c r="DR37" s="359" t="s">
        <v>1258</v>
      </c>
      <c r="DS37" s="359"/>
      <c r="DT37" s="359" t="s">
        <v>1290</v>
      </c>
      <c r="DU37" s="360"/>
      <c r="DV37" s="23"/>
      <c r="DX37" s="85"/>
      <c r="DY37" s="85"/>
    </row>
    <row r="38" spans="1:129" ht="19.5" hidden="1" customHeight="1" thickBot="1">
      <c r="A38" s="354" t="s">
        <v>1234</v>
      </c>
      <c r="B38" s="181"/>
      <c r="C38" s="518"/>
      <c r="D38" s="519"/>
      <c r="E38" s="519"/>
      <c r="F38" s="519"/>
      <c r="G38" s="519"/>
      <c r="H38" s="519"/>
      <c r="I38" s="519"/>
      <c r="J38" s="519"/>
      <c r="K38" s="519"/>
      <c r="L38" s="522"/>
      <c r="M38" s="523"/>
      <c r="N38" s="524"/>
      <c r="O38" s="524"/>
      <c r="P38" s="524"/>
      <c r="Q38" s="2205">
        <v>0</v>
      </c>
      <c r="R38" s="2205"/>
      <c r="S38" s="2205"/>
      <c r="T38" s="2205"/>
      <c r="U38" s="2176">
        <v>0</v>
      </c>
      <c r="V38" s="2176"/>
      <c r="W38" s="2176"/>
      <c r="X38" s="2176"/>
      <c r="Y38" s="2175">
        <v>0</v>
      </c>
      <c r="Z38" s="2175"/>
      <c r="AA38" s="2175"/>
      <c r="AB38" s="2175"/>
      <c r="AC38" s="2175">
        <v>0</v>
      </c>
      <c r="AD38" s="2175"/>
      <c r="AE38" s="2175"/>
      <c r="AF38" s="2175"/>
      <c r="AG38" s="2176">
        <v>0</v>
      </c>
      <c r="AH38" s="2176"/>
      <c r="AI38" s="2176"/>
      <c r="AJ38" s="2176"/>
      <c r="AK38" s="525"/>
      <c r="AL38" s="525"/>
      <c r="AM38" s="525"/>
      <c r="AN38" s="525"/>
      <c r="AO38" s="525"/>
      <c r="AP38" s="525"/>
      <c r="AQ38" s="525"/>
      <c r="AR38" s="525"/>
      <c r="AS38" s="525"/>
      <c r="AT38" s="526"/>
      <c r="AU38" s="171"/>
      <c r="AV38" s="20"/>
      <c r="BZ38" s="583" t="s">
        <v>1361</v>
      </c>
      <c r="CA38" s="584" t="str">
        <f t="shared" si="0"/>
        <v>1208623</v>
      </c>
      <c r="CB38" s="585" t="s">
        <v>677</v>
      </c>
      <c r="CD38" s="108"/>
      <c r="CE38" s="108"/>
      <c r="CF38" s="108"/>
      <c r="CG38" s="23"/>
      <c r="CH38" s="355" t="s">
        <v>1237</v>
      </c>
      <c r="CI38" s="355" t="s">
        <v>22</v>
      </c>
      <c r="CJ38" s="355">
        <v>60</v>
      </c>
      <c r="CK38" s="355"/>
      <c r="CL38" s="355"/>
      <c r="CM38" s="355"/>
      <c r="CN38" s="355"/>
      <c r="CO38" s="50" t="s">
        <v>1238</v>
      </c>
      <c r="CP38" s="51"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2"/>
      <c r="CR38" s="52"/>
      <c r="CS38" s="52"/>
      <c r="CT38" s="52"/>
      <c r="CU38" s="212"/>
      <c r="CV38" s="10">
        <f t="shared" si="1"/>
        <v>0</v>
      </c>
      <c r="CW38" s="34" t="s">
        <v>723</v>
      </c>
      <c r="CX38" s="34"/>
      <c r="CY38" s="40"/>
      <c r="CZ38" s="41"/>
      <c r="DA38" s="40"/>
      <c r="DB38" s="34" t="str">
        <f t="shared" si="3"/>
        <v>001</v>
      </c>
      <c r="DC38" s="81" t="s">
        <v>221</v>
      </c>
      <c r="DD38" s="34"/>
      <c r="DE38" s="64"/>
      <c r="DF38" s="64"/>
      <c r="DG38" s="64"/>
      <c r="DH38" s="435" t="s">
        <v>3198</v>
      </c>
      <c r="DI38" s="436" t="s">
        <v>3202</v>
      </c>
      <c r="DJ38" s="436"/>
      <c r="DK38" s="75" t="str">
        <f t="shared" si="2"/>
        <v>106022ZV</v>
      </c>
      <c r="DL38" s="78" t="s">
        <v>1984</v>
      </c>
      <c r="DM38" s="78" t="s">
        <v>3212</v>
      </c>
      <c r="DN38" s="227" t="str">
        <f>ASC(V128)</f>
        <v>7000</v>
      </c>
      <c r="DO38" s="18"/>
      <c r="DP38" s="359" t="s">
        <v>1269</v>
      </c>
      <c r="DQ38" s="359" t="s">
        <v>1159</v>
      </c>
      <c r="DR38" s="359" t="s">
        <v>1258</v>
      </c>
      <c r="DS38" s="359"/>
      <c r="DT38" s="359" t="s">
        <v>1291</v>
      </c>
      <c r="DU38" s="360"/>
      <c r="DV38" s="23"/>
      <c r="DX38" s="85"/>
      <c r="DY38" s="85"/>
    </row>
    <row r="39" spans="1:129" ht="19.5" hidden="1" customHeight="1" thickTop="1">
      <c r="A39" s="354"/>
      <c r="B39" s="181"/>
      <c r="C39" s="731"/>
      <c r="D39" s="731"/>
      <c r="E39" s="731"/>
      <c r="F39" s="731"/>
      <c r="G39" s="731"/>
      <c r="H39" s="731"/>
      <c r="I39" s="731"/>
      <c r="J39" s="731"/>
      <c r="K39" s="731"/>
      <c r="L39" s="716"/>
      <c r="M39" s="716"/>
      <c r="N39" s="717"/>
      <c r="O39" s="717"/>
      <c r="P39" s="717"/>
      <c r="Q39" s="717"/>
      <c r="R39" s="717"/>
      <c r="S39" s="717"/>
      <c r="T39" s="717"/>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171"/>
      <c r="AV39" s="20"/>
      <c r="BZ39" s="583">
        <v>1208682</v>
      </c>
      <c r="CA39" s="584" t="str">
        <f t="shared" si="0"/>
        <v>1208682</v>
      </c>
      <c r="CB39" s="585" t="s">
        <v>678</v>
      </c>
      <c r="CD39" s="108"/>
      <c r="CE39" s="108"/>
      <c r="CF39" s="108"/>
      <c r="CG39" s="24"/>
      <c r="CH39" s="355" t="s">
        <v>1174</v>
      </c>
      <c r="CI39" s="355" t="s">
        <v>22</v>
      </c>
      <c r="CJ39" s="355">
        <v>13</v>
      </c>
      <c r="CK39" s="355"/>
      <c r="CL39" s="355"/>
      <c r="CM39" s="355"/>
      <c r="CN39" s="355"/>
      <c r="CO39" s="50" t="s">
        <v>1239</v>
      </c>
      <c r="CP39" s="51" t="str">
        <f>ASC(記入シート1!I55)&amp;"-"&amp;ASC(記入シート1!O55)&amp;"-"&amp;ASC(記入シート1!T55)</f>
        <v>--</v>
      </c>
      <c r="CQ39" s="2"/>
      <c r="CR39" s="52"/>
      <c r="CS39" s="52"/>
      <c r="CT39" s="52"/>
      <c r="CU39" s="52"/>
      <c r="CV39" s="10">
        <f t="shared" si="1"/>
        <v>0</v>
      </c>
      <c r="CW39" s="34" t="s">
        <v>217</v>
      </c>
      <c r="CX39" s="34"/>
      <c r="CY39" s="40" t="s">
        <v>736</v>
      </c>
      <c r="CZ39" s="41" t="s">
        <v>343</v>
      </c>
      <c r="DA39" s="40"/>
      <c r="DB39" s="34" t="str">
        <f t="shared" si="3"/>
        <v>001</v>
      </c>
      <c r="DC39" s="81" t="s">
        <v>218</v>
      </c>
      <c r="DD39" s="34"/>
      <c r="DE39" s="64"/>
      <c r="DF39" s="64"/>
      <c r="DG39" s="64"/>
      <c r="DH39" s="435" t="s">
        <v>3198</v>
      </c>
      <c r="DI39" s="436" t="s">
        <v>3203</v>
      </c>
      <c r="DJ39" s="436"/>
      <c r="DK39" s="75" t="str">
        <f t="shared" si="2"/>
        <v>106022ZU</v>
      </c>
      <c r="DL39" s="78" t="s">
        <v>1984</v>
      </c>
      <c r="DM39" s="78" t="s">
        <v>3213</v>
      </c>
      <c r="DN39" s="227" t="str">
        <f>ASC(V129)</f>
        <v>12000</v>
      </c>
      <c r="DO39" s="18"/>
      <c r="DP39" s="365" t="s">
        <v>1269</v>
      </c>
      <c r="DQ39" s="365" t="s">
        <v>1160</v>
      </c>
      <c r="DR39" s="365" t="s">
        <v>1258</v>
      </c>
      <c r="DS39" s="359"/>
      <c r="DT39" s="365" t="s">
        <v>1292</v>
      </c>
      <c r="DU39" s="366"/>
      <c r="DV39" s="23"/>
      <c r="DX39" s="85"/>
      <c r="DY39" s="85"/>
    </row>
    <row r="40" spans="1:129" ht="19.5" customHeight="1" thickBot="1">
      <c r="A40" s="354"/>
      <c r="B40" s="181"/>
      <c r="C40" s="273"/>
      <c r="D40" s="273"/>
      <c r="E40" s="273"/>
      <c r="F40" s="273"/>
      <c r="G40" s="273"/>
      <c r="H40" s="273"/>
      <c r="I40" s="273"/>
      <c r="J40" s="273"/>
      <c r="K40" s="273"/>
      <c r="L40" s="732"/>
      <c r="M40" s="732"/>
      <c r="N40" s="111"/>
      <c r="O40" s="111"/>
      <c r="P40" s="111"/>
      <c r="Q40" s="111"/>
      <c r="R40" s="111"/>
      <c r="S40" s="111"/>
      <c r="T40" s="111"/>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171"/>
      <c r="AV40" s="20"/>
      <c r="BZ40" s="583">
        <v>1208945</v>
      </c>
      <c r="CA40" s="584" t="str">
        <f t="shared" si="0"/>
        <v>1208945</v>
      </c>
      <c r="CB40" s="585" t="s">
        <v>679</v>
      </c>
      <c r="CD40" s="108"/>
      <c r="CE40" s="108"/>
      <c r="CF40" s="108"/>
      <c r="CG40" s="23"/>
      <c r="CH40" s="355" t="s">
        <v>1170</v>
      </c>
      <c r="CI40" s="355" t="s">
        <v>63</v>
      </c>
      <c r="CJ40" s="355">
        <v>1</v>
      </c>
      <c r="CK40" s="355"/>
      <c r="CL40" s="355"/>
      <c r="CM40" s="355" t="s">
        <v>1969</v>
      </c>
      <c r="CN40" s="355"/>
      <c r="CO40" s="50" t="s">
        <v>1240</v>
      </c>
      <c r="CP40" s="51" t="str">
        <f>IF(記入シート1!AV21=1,"0","1")</f>
        <v>1</v>
      </c>
      <c r="CQ40" s="2"/>
      <c r="CR40" s="52"/>
      <c r="CS40" s="52"/>
      <c r="CT40" s="52"/>
      <c r="CU40" s="52"/>
      <c r="CV40" s="10">
        <f t="shared" si="1"/>
        <v>0</v>
      </c>
      <c r="CW40" s="34" t="s">
        <v>724</v>
      </c>
      <c r="CX40" s="34"/>
      <c r="CY40" s="40"/>
      <c r="CZ40" s="41"/>
      <c r="DA40" s="40"/>
      <c r="DB40" s="34" t="str">
        <f t="shared" si="3"/>
        <v>001</v>
      </c>
      <c r="DC40" s="81" t="s">
        <v>214</v>
      </c>
      <c r="DD40" s="34"/>
      <c r="DE40" s="64"/>
      <c r="DF40" s="64"/>
      <c r="DG40" s="64"/>
      <c r="DH40" s="435" t="s">
        <v>3198</v>
      </c>
      <c r="DI40" s="436" t="s">
        <v>3204</v>
      </c>
      <c r="DJ40" s="436"/>
      <c r="DK40" s="75" t="str">
        <f t="shared" si="2"/>
        <v>106022ZT</v>
      </c>
      <c r="DL40" s="78" t="s">
        <v>1984</v>
      </c>
      <c r="DM40" s="78" t="s">
        <v>3214</v>
      </c>
      <c r="DN40" s="227" t="str">
        <f>ASC(V133)</f>
        <v>0</v>
      </c>
      <c r="DO40" s="18"/>
      <c r="DP40" s="365" t="s">
        <v>1269</v>
      </c>
      <c r="DQ40" s="365" t="s">
        <v>1161</v>
      </c>
      <c r="DR40" s="365" t="s">
        <v>1258</v>
      </c>
      <c r="DS40" s="359"/>
      <c r="DT40" s="365" t="s">
        <v>1293</v>
      </c>
      <c r="DU40" s="366"/>
      <c r="DV40" s="23"/>
      <c r="DX40" s="85"/>
      <c r="DY40" s="85"/>
    </row>
    <row r="41" spans="1:129" ht="19.5" customHeight="1" thickTop="1">
      <c r="A41" s="354"/>
      <c r="B41" s="181"/>
      <c r="C41" s="1228" t="s">
        <v>449</v>
      </c>
      <c r="D41" s="1229"/>
      <c r="E41" s="1229"/>
      <c r="F41" s="1229"/>
      <c r="G41" s="1229"/>
      <c r="H41" s="1229"/>
      <c r="I41" s="1230"/>
      <c r="J41" s="2190" t="s">
        <v>845</v>
      </c>
      <c r="K41" s="2191"/>
      <c r="L41" s="2193" t="s">
        <v>2060</v>
      </c>
      <c r="M41" s="2194"/>
      <c r="N41" s="2195"/>
      <c r="O41" s="2199" t="s">
        <v>1059</v>
      </c>
      <c r="P41" s="2200"/>
      <c r="Q41" s="2199" t="s">
        <v>2047</v>
      </c>
      <c r="R41" s="2203"/>
      <c r="S41" s="2203"/>
      <c r="T41" s="2200"/>
      <c r="U41" s="2199" t="s">
        <v>2048</v>
      </c>
      <c r="V41" s="2203"/>
      <c r="W41" s="2203"/>
      <c r="X41" s="2200"/>
      <c r="Y41" s="2199" t="s">
        <v>2049</v>
      </c>
      <c r="Z41" s="2203"/>
      <c r="AA41" s="2203"/>
      <c r="AB41" s="2200"/>
      <c r="AC41" s="2199" t="s">
        <v>2050</v>
      </c>
      <c r="AD41" s="2203"/>
      <c r="AE41" s="2203"/>
      <c r="AF41" s="2200"/>
      <c r="AG41" s="2199" t="s">
        <v>2051</v>
      </c>
      <c r="AH41" s="2203"/>
      <c r="AI41" s="2203"/>
      <c r="AJ41" s="2200"/>
      <c r="AK41" s="2177" t="s">
        <v>2061</v>
      </c>
      <c r="AL41" s="2178"/>
      <c r="AM41" s="2178"/>
      <c r="AN41" s="2178"/>
      <c r="AO41" s="2178"/>
      <c r="AP41" s="2178"/>
      <c r="AQ41" s="2178"/>
      <c r="AR41" s="2178"/>
      <c r="AS41" s="2178"/>
      <c r="AT41" s="2179"/>
      <c r="AU41" s="171"/>
      <c r="AV41" s="20"/>
      <c r="BZ41" s="583" t="s">
        <v>1323</v>
      </c>
      <c r="CA41" s="584" t="str">
        <f t="shared" si="0"/>
        <v>1209993</v>
      </c>
      <c r="CB41" s="585" t="s">
        <v>680</v>
      </c>
      <c r="CD41" s="108"/>
      <c r="CE41" s="108"/>
      <c r="CF41" s="108"/>
      <c r="CG41" s="23"/>
      <c r="CH41" s="355" t="s">
        <v>1171</v>
      </c>
      <c r="CI41" s="355" t="s">
        <v>63</v>
      </c>
      <c r="CJ41" s="355">
        <v>2</v>
      </c>
      <c r="CK41" s="355"/>
      <c r="CL41" s="355"/>
      <c r="CM41" s="355" t="s">
        <v>1241</v>
      </c>
      <c r="CN41" s="355"/>
      <c r="CO41" s="50" t="s">
        <v>1242</v>
      </c>
      <c r="CP41" s="51" t="str">
        <f>TEXT(記入シート1!AV13,"00")</f>
        <v>01</v>
      </c>
      <c r="CQ41" s="2"/>
      <c r="CR41" s="52"/>
      <c r="CS41" s="52"/>
      <c r="CT41" s="52"/>
      <c r="CU41" s="212"/>
      <c r="CV41" s="10">
        <f t="shared" si="1"/>
        <v>0</v>
      </c>
      <c r="CW41" s="34" t="s">
        <v>211</v>
      </c>
      <c r="CX41" s="34"/>
      <c r="CY41" s="40" t="s">
        <v>736</v>
      </c>
      <c r="CZ41" s="41" t="s">
        <v>343</v>
      </c>
      <c r="DA41" s="40"/>
      <c r="DB41" s="34" t="str">
        <f t="shared" si="3"/>
        <v>001</v>
      </c>
      <c r="DC41" s="81" t="s">
        <v>212</v>
      </c>
      <c r="DD41" s="34"/>
      <c r="DE41" s="64"/>
      <c r="DF41" s="64"/>
      <c r="DG41" s="64"/>
      <c r="DH41" s="435" t="s">
        <v>3198</v>
      </c>
      <c r="DI41" s="436" t="s">
        <v>3205</v>
      </c>
      <c r="DJ41" s="436"/>
      <c r="DK41" s="75" t="str">
        <f t="shared" si="2"/>
        <v>106022ZS</v>
      </c>
      <c r="DL41" s="78" t="s">
        <v>1984</v>
      </c>
      <c r="DM41" s="78" t="s">
        <v>3215</v>
      </c>
      <c r="DN41" s="227" t="str">
        <f>ASC(V136)</f>
        <v>0</v>
      </c>
      <c r="DO41" s="18"/>
      <c r="DP41" s="83" t="s">
        <v>1294</v>
      </c>
      <c r="DQ41" s="83" t="s">
        <v>1162</v>
      </c>
      <c r="DR41" s="83" t="s">
        <v>1112</v>
      </c>
      <c r="DS41" s="83" t="s">
        <v>1295</v>
      </c>
      <c r="DT41" s="359" t="s">
        <v>1296</v>
      </c>
      <c r="DU41" s="361"/>
      <c r="DV41" s="23"/>
      <c r="DX41" s="85"/>
      <c r="DY41" s="85"/>
    </row>
    <row r="42" spans="1:129" ht="19.5" customHeight="1">
      <c r="A42" s="354"/>
      <c r="B42" s="181"/>
      <c r="C42" s="1242"/>
      <c r="D42" s="1243"/>
      <c r="E42" s="1243"/>
      <c r="F42" s="1243"/>
      <c r="G42" s="1243"/>
      <c r="H42" s="1243"/>
      <c r="I42" s="1244"/>
      <c r="J42" s="1281"/>
      <c r="K42" s="2192"/>
      <c r="L42" s="2196"/>
      <c r="M42" s="2197"/>
      <c r="N42" s="2198"/>
      <c r="O42" s="2201"/>
      <c r="P42" s="2202"/>
      <c r="Q42" s="2201"/>
      <c r="R42" s="2204"/>
      <c r="S42" s="2204"/>
      <c r="T42" s="2202"/>
      <c r="U42" s="2201"/>
      <c r="V42" s="2204"/>
      <c r="W42" s="2204"/>
      <c r="X42" s="2202"/>
      <c r="Y42" s="2201"/>
      <c r="Z42" s="2204"/>
      <c r="AA42" s="2204"/>
      <c r="AB42" s="2202"/>
      <c r="AC42" s="2201"/>
      <c r="AD42" s="2204"/>
      <c r="AE42" s="2204"/>
      <c r="AF42" s="2202"/>
      <c r="AG42" s="2201"/>
      <c r="AH42" s="2204"/>
      <c r="AI42" s="2204"/>
      <c r="AJ42" s="2202"/>
      <c r="AK42" s="2180"/>
      <c r="AL42" s="2181"/>
      <c r="AM42" s="2181"/>
      <c r="AN42" s="2181"/>
      <c r="AO42" s="2181"/>
      <c r="AP42" s="2181"/>
      <c r="AQ42" s="2181"/>
      <c r="AR42" s="2181"/>
      <c r="AS42" s="2181"/>
      <c r="AT42" s="2182"/>
      <c r="AU42" s="171"/>
      <c r="AV42" s="20"/>
      <c r="BZ42" s="583" t="s">
        <v>1362</v>
      </c>
      <c r="CA42" s="584" t="str">
        <f t="shared" si="0"/>
        <v>1209994</v>
      </c>
      <c r="CB42" s="585" t="s">
        <v>681</v>
      </c>
      <c r="CD42" s="108"/>
      <c r="CE42" s="108"/>
      <c r="CF42" s="108"/>
      <c r="CG42" s="23"/>
      <c r="CH42" s="355" t="s">
        <v>1172</v>
      </c>
      <c r="CI42" s="355" t="s">
        <v>1173</v>
      </c>
      <c r="CJ42" s="355">
        <v>13</v>
      </c>
      <c r="CK42" s="355"/>
      <c r="CL42" s="355"/>
      <c r="CM42" s="355"/>
      <c r="CN42" s="355"/>
      <c r="CO42" s="50" t="s">
        <v>1243</v>
      </c>
      <c r="CP42" s="51" t="str">
        <f>ASC(記入シート1!AL43)</f>
        <v/>
      </c>
      <c r="CQ42" s="2"/>
      <c r="CR42" s="52"/>
      <c r="CS42" s="52"/>
      <c r="CT42" s="52"/>
      <c r="CU42" s="212"/>
      <c r="CV42" s="10">
        <f t="shared" si="1"/>
        <v>0</v>
      </c>
      <c r="CW42" s="34" t="s">
        <v>208</v>
      </c>
      <c r="CX42" s="34"/>
      <c r="CY42" s="40" t="s">
        <v>736</v>
      </c>
      <c r="CZ42" s="41" t="s">
        <v>343</v>
      </c>
      <c r="DA42" s="40"/>
      <c r="DB42" s="34" t="str">
        <f t="shared" si="3"/>
        <v>001</v>
      </c>
      <c r="DC42" s="81" t="s">
        <v>209</v>
      </c>
      <c r="DD42" s="34"/>
      <c r="DE42" s="64"/>
      <c r="DF42" s="64"/>
      <c r="DG42" s="64"/>
      <c r="DH42" s="435" t="s">
        <v>3198</v>
      </c>
      <c r="DI42" s="436" t="s">
        <v>3206</v>
      </c>
      <c r="DJ42" s="436"/>
      <c r="DK42" s="75" t="str">
        <f t="shared" si="2"/>
        <v>106022ZR</v>
      </c>
      <c r="DL42" s="78" t="s">
        <v>1984</v>
      </c>
      <c r="DM42" s="78" t="s">
        <v>3216</v>
      </c>
      <c r="DN42" s="227" t="str">
        <f>ASC(V137)</f>
        <v>0</v>
      </c>
      <c r="DO42" s="19"/>
      <c r="DP42" s="83" t="s">
        <v>1294</v>
      </c>
      <c r="DQ42" s="83" t="s">
        <v>1163</v>
      </c>
      <c r="DR42" s="83" t="s">
        <v>1297</v>
      </c>
      <c r="DS42" s="83" t="s">
        <v>1298</v>
      </c>
      <c r="DT42" s="359" t="s">
        <v>1299</v>
      </c>
      <c r="DU42" s="361"/>
      <c r="DV42" s="24"/>
      <c r="DX42" s="85"/>
      <c r="DY42" s="85"/>
    </row>
    <row r="43" spans="1:129" ht="19.5" customHeight="1">
      <c r="A43" s="354"/>
      <c r="B43" s="181"/>
      <c r="C43" s="2183" t="s">
        <v>2245</v>
      </c>
      <c r="D43" s="2184"/>
      <c r="E43" s="2184"/>
      <c r="F43" s="2184"/>
      <c r="G43" s="2184"/>
      <c r="H43" s="2184"/>
      <c r="I43" s="2184"/>
      <c r="J43" s="378"/>
      <c r="K43" s="378"/>
      <c r="L43" s="385"/>
      <c r="M43" s="562"/>
      <c r="N43" s="374"/>
      <c r="O43" s="374"/>
      <c r="P43" s="374"/>
      <c r="Q43" s="374"/>
      <c r="R43" s="374"/>
      <c r="S43" s="374"/>
      <c r="T43" s="374"/>
      <c r="U43" s="375"/>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527"/>
      <c r="AU43" s="171"/>
      <c r="AV43" s="531" t="b">
        <f>IF(OR(AV44=TRUE,AV45=TRUE,AV47=TRUE),TRUE,FALSE)</f>
        <v>1</v>
      </c>
      <c r="AW43" s="499" t="s">
        <v>2062</v>
      </c>
      <c r="AY43" s="253" t="s">
        <v>7</v>
      </c>
      <c r="AZ43" s="253" t="s">
        <v>454</v>
      </c>
      <c r="BA43" s="10" t="s">
        <v>908</v>
      </c>
      <c r="BB43" s="10" t="s">
        <v>0</v>
      </c>
      <c r="BC43" s="10" t="s">
        <v>455</v>
      </c>
      <c r="BD43" s="10" t="s">
        <v>975</v>
      </c>
      <c r="BE43" s="10"/>
      <c r="BF43" s="10"/>
      <c r="BG43" s="10"/>
      <c r="BH43" s="10"/>
      <c r="BI43" s="10" t="s">
        <v>456</v>
      </c>
      <c r="BJ43" s="10" t="s">
        <v>457</v>
      </c>
      <c r="BK43" s="10" t="s">
        <v>458</v>
      </c>
      <c r="BL43" s="10" t="s">
        <v>973</v>
      </c>
      <c r="BM43" s="10" t="s">
        <v>974</v>
      </c>
      <c r="BN43" s="10" t="s">
        <v>459</v>
      </c>
      <c r="BO43" s="10" t="s">
        <v>460</v>
      </c>
      <c r="BP43" s="10" t="s">
        <v>461</v>
      </c>
      <c r="BQ43" s="10"/>
      <c r="BR43" s="10" t="s">
        <v>7</v>
      </c>
      <c r="BZ43" s="583" t="s">
        <v>1324</v>
      </c>
      <c r="CA43" s="584" t="str">
        <f t="shared" si="0"/>
        <v>1210249</v>
      </c>
      <c r="CB43" s="585" t="s">
        <v>1374</v>
      </c>
      <c r="CD43" s="108"/>
      <c r="CE43" s="108"/>
      <c r="CF43" s="108"/>
      <c r="CG43" s="23"/>
      <c r="CH43" s="59" t="s">
        <v>598</v>
      </c>
      <c r="CI43" s="59"/>
      <c r="CJ43" s="59"/>
      <c r="CK43" s="59"/>
      <c r="CL43" s="59"/>
      <c r="CM43" s="59"/>
      <c r="CN43" s="59"/>
      <c r="CO43" s="10"/>
      <c r="CP43" s="10"/>
      <c r="CQ43" s="2"/>
      <c r="CR43" s="52"/>
      <c r="CS43" s="52"/>
      <c r="CT43" s="52"/>
      <c r="CU43" s="52"/>
      <c r="CV43" s="10">
        <f t="shared" si="1"/>
        <v>0</v>
      </c>
      <c r="CW43" s="34" t="s">
        <v>725</v>
      </c>
      <c r="CX43" s="34"/>
      <c r="CY43" s="40"/>
      <c r="CZ43" s="41"/>
      <c r="DA43" s="40"/>
      <c r="DB43" s="34" t="str">
        <f t="shared" si="3"/>
        <v>001</v>
      </c>
      <c r="DC43" s="81" t="s">
        <v>206</v>
      </c>
      <c r="DD43" s="34"/>
      <c r="DE43" s="64"/>
      <c r="DF43" s="64"/>
      <c r="DG43" s="64"/>
      <c r="DH43" s="435" t="s">
        <v>3198</v>
      </c>
      <c r="DI43" s="436" t="s">
        <v>3207</v>
      </c>
      <c r="DJ43" s="436"/>
      <c r="DK43" s="75" t="str">
        <f t="shared" si="2"/>
        <v>106022ZQ</v>
      </c>
      <c r="DL43" s="78" t="s">
        <v>1984</v>
      </c>
      <c r="DM43" s="78" t="s">
        <v>3217</v>
      </c>
      <c r="DN43" s="227" t="str">
        <f>ASC(V135)</f>
        <v>0</v>
      </c>
      <c r="DO43" s="19"/>
      <c r="DP43" s="83" t="s">
        <v>1294</v>
      </c>
      <c r="DQ43" s="83" t="s">
        <v>1164</v>
      </c>
      <c r="DR43" s="83" t="s">
        <v>1112</v>
      </c>
      <c r="DS43" s="83" t="s">
        <v>1295</v>
      </c>
      <c r="DT43" s="50" t="s">
        <v>1165</v>
      </c>
      <c r="DU43" s="227">
        <v>1</v>
      </c>
      <c r="DV43" s="23"/>
      <c r="DX43" s="85"/>
      <c r="DY43" s="85"/>
    </row>
    <row r="44" spans="1:129" ht="19.5" customHeight="1">
      <c r="A44" s="354"/>
      <c r="B44" s="181"/>
      <c r="C44" s="2270" t="s">
        <v>5680</v>
      </c>
      <c r="D44" s="2271"/>
      <c r="E44" s="2271"/>
      <c r="F44" s="2271"/>
      <c r="G44" s="2271"/>
      <c r="H44" s="2271"/>
      <c r="I44" s="2272"/>
      <c r="J44" s="378"/>
      <c r="K44" s="378"/>
      <c r="L44" s="2273" t="s">
        <v>642</v>
      </c>
      <c r="M44" s="2274"/>
      <c r="N44" s="2275"/>
      <c r="O44" s="2265" t="s">
        <v>1071</v>
      </c>
      <c r="P44" s="2266"/>
      <c r="Q44" s="2267">
        <v>0</v>
      </c>
      <c r="R44" s="2268"/>
      <c r="S44" s="2268"/>
      <c r="T44" s="2269"/>
      <c r="U44" s="2258">
        <v>0</v>
      </c>
      <c r="V44" s="2259"/>
      <c r="W44" s="2259"/>
      <c r="X44" s="2260"/>
      <c r="Y44" s="2255">
        <v>0</v>
      </c>
      <c r="Z44" s="2256"/>
      <c r="AA44" s="2256"/>
      <c r="AB44" s="2257"/>
      <c r="AC44" s="2255">
        <v>0</v>
      </c>
      <c r="AD44" s="2256"/>
      <c r="AE44" s="2256"/>
      <c r="AF44" s="2257"/>
      <c r="AG44" s="2258">
        <v>0</v>
      </c>
      <c r="AH44" s="2259"/>
      <c r="AI44" s="2259"/>
      <c r="AJ44" s="2260"/>
      <c r="AK44" s="2276" t="s">
        <v>5714</v>
      </c>
      <c r="AL44" s="2277"/>
      <c r="AM44" s="2277"/>
      <c r="AN44" s="2277"/>
      <c r="AO44" s="2278" t="s">
        <v>5712</v>
      </c>
      <c r="AP44" s="2278"/>
      <c r="AQ44" s="2278"/>
      <c r="AR44" s="2279" t="s">
        <v>5713</v>
      </c>
      <c r="AS44" s="2279"/>
      <c r="AT44" s="2280"/>
      <c r="AU44" s="171"/>
      <c r="AV44" s="386" t="b">
        <v>1</v>
      </c>
      <c r="AW44" s="387">
        <f>IF(AV44=TRUE,AV44*1,0)</f>
        <v>1</v>
      </c>
      <c r="AX44" s="387"/>
      <c r="AY44" s="387" t="str">
        <f>TEXT(BR44,"000")</f>
        <v>932</v>
      </c>
      <c r="AZ44" s="387">
        <f>AW44</f>
        <v>1</v>
      </c>
      <c r="BA44" s="83" t="str">
        <f>IF(O44="2回入金","92",IF(O44="早期2回","R2",IF(O44="早期3回","R3",IF(O44="早期4回","R4",IF(O44="早期6回","R6","")))))</f>
        <v>92</v>
      </c>
      <c r="BB44" s="84" t="str">
        <f>$AZ$14</f>
        <v>14</v>
      </c>
      <c r="BC44" s="83" t="s">
        <v>2063</v>
      </c>
      <c r="BD44" s="83">
        <f>ROW(C44)</f>
        <v>44</v>
      </c>
      <c r="BE44" s="83">
        <f>IF(AY44&amp;BC44=AY43&amp;BC43,BE43+1,1)</f>
        <v>1</v>
      </c>
      <c r="BF44" s="83" t="str">
        <f>AY44&amp;BC44&amp;BE44</f>
        <v>932932011</v>
      </c>
      <c r="BG44" s="83"/>
      <c r="BH44" s="83"/>
      <c r="BI44" s="83" t="str">
        <f>BR44&amp;"01"</f>
        <v>93201</v>
      </c>
      <c r="BJ44" s="83">
        <f>IF(L44=$BC$2,1,0)</f>
        <v>1</v>
      </c>
      <c r="BK44" s="83">
        <f>AZ44</f>
        <v>1</v>
      </c>
      <c r="BL44" s="628">
        <f t="shared" ref="BL44:BP45" ca="1" si="11">IF($AW44=0,"",INDIRECT(ADDRESS($BD44,BL$16)))</f>
        <v>0</v>
      </c>
      <c r="BM44" s="628">
        <f t="shared" ca="1" si="11"/>
        <v>0</v>
      </c>
      <c r="BN44" s="430">
        <f t="shared" ca="1" si="11"/>
        <v>0</v>
      </c>
      <c r="BO44" s="430">
        <f t="shared" ca="1" si="11"/>
        <v>0</v>
      </c>
      <c r="BP44" s="388">
        <f t="shared" ca="1" si="11"/>
        <v>0</v>
      </c>
      <c r="BQ44" s="83"/>
      <c r="BR44" s="83">
        <v>932</v>
      </c>
      <c r="BZ44" s="583" t="s">
        <v>1363</v>
      </c>
      <c r="CA44" s="584" t="str">
        <f t="shared" si="0"/>
        <v>1210473</v>
      </c>
      <c r="CB44" s="585" t="s">
        <v>682</v>
      </c>
      <c r="CD44" s="108"/>
      <c r="CE44" s="108"/>
      <c r="CF44" s="108"/>
      <c r="CG44" s="23"/>
      <c r="CH44" s="46" t="s">
        <v>323</v>
      </c>
      <c r="CI44" s="47" t="s">
        <v>586</v>
      </c>
      <c r="CJ44" s="47" t="s">
        <v>321</v>
      </c>
      <c r="CK44" s="46" t="s">
        <v>320</v>
      </c>
      <c r="CL44" s="46" t="s">
        <v>587</v>
      </c>
      <c r="CM44" s="46" t="s">
        <v>326</v>
      </c>
      <c r="CN44" s="46" t="s">
        <v>327</v>
      </c>
      <c r="CO44" s="46" t="s">
        <v>376</v>
      </c>
      <c r="CP44" s="46" t="s">
        <v>328</v>
      </c>
      <c r="CQ44" s="2"/>
      <c r="CR44" s="52"/>
      <c r="CS44" s="52"/>
      <c r="CT44" s="52"/>
      <c r="CU44" s="52"/>
      <c r="CV44" s="10">
        <f t="shared" si="1"/>
        <v>0</v>
      </c>
      <c r="CW44" s="34" t="s">
        <v>204</v>
      </c>
      <c r="CX44" s="34"/>
      <c r="CY44" s="40" t="s">
        <v>736</v>
      </c>
      <c r="CZ44" s="41" t="s">
        <v>343</v>
      </c>
      <c r="DA44" s="40"/>
      <c r="DB44" s="34" t="str">
        <f t="shared" si="3"/>
        <v>001</v>
      </c>
      <c r="DC44" s="81" t="s">
        <v>205</v>
      </c>
      <c r="DD44" s="34"/>
      <c r="DE44" s="64"/>
      <c r="DF44" s="64"/>
      <c r="DG44" s="64"/>
      <c r="DH44" s="435" t="s">
        <v>3198</v>
      </c>
      <c r="DI44" s="436" t="s">
        <v>3208</v>
      </c>
      <c r="DJ44" s="436"/>
      <c r="DK44" s="75" t="str">
        <f t="shared" si="2"/>
        <v>106022ZP</v>
      </c>
      <c r="DL44" s="78" t="s">
        <v>1984</v>
      </c>
      <c r="DM44" s="78" t="s">
        <v>3218</v>
      </c>
      <c r="DN44" s="227" t="str">
        <f>ASC(V138)</f>
        <v>0</v>
      </c>
      <c r="DO44" s="30"/>
      <c r="DP44" s="83" t="s">
        <v>1294</v>
      </c>
      <c r="DQ44" s="83" t="s">
        <v>1166</v>
      </c>
      <c r="DR44" s="83" t="s">
        <v>1297</v>
      </c>
      <c r="DS44" s="83" t="s">
        <v>1298</v>
      </c>
      <c r="DT44" s="50" t="s">
        <v>1167</v>
      </c>
      <c r="DU44" s="227" t="str">
        <f ca="1">TEXT(TODAY(),"yyyymmdd")</f>
        <v>20250616</v>
      </c>
      <c r="DV44" s="23"/>
      <c r="DX44" s="85"/>
      <c r="DY44" s="85"/>
    </row>
    <row r="45" spans="1:129" ht="19.5" customHeight="1">
      <c r="A45" s="354"/>
      <c r="B45" s="181"/>
      <c r="C45" s="2250" t="s">
        <v>2064</v>
      </c>
      <c r="D45" s="2251"/>
      <c r="E45" s="2251"/>
      <c r="F45" s="2251"/>
      <c r="G45" s="2251"/>
      <c r="H45" s="2251"/>
      <c r="I45" s="2261"/>
      <c r="J45" s="378"/>
      <c r="K45" s="378"/>
      <c r="L45" s="2262" t="s">
        <v>2082</v>
      </c>
      <c r="M45" s="2263"/>
      <c r="N45" s="2264"/>
      <c r="O45" s="2265" t="s">
        <v>1071</v>
      </c>
      <c r="P45" s="2266"/>
      <c r="Q45" s="2267">
        <v>0</v>
      </c>
      <c r="R45" s="2268"/>
      <c r="S45" s="2268"/>
      <c r="T45" s="2269"/>
      <c r="U45" s="2258">
        <v>0</v>
      </c>
      <c r="V45" s="2259"/>
      <c r="W45" s="2259"/>
      <c r="X45" s="2260"/>
      <c r="Y45" s="2255">
        <v>0</v>
      </c>
      <c r="Z45" s="2256"/>
      <c r="AA45" s="2256"/>
      <c r="AB45" s="2257"/>
      <c r="AC45" s="2255">
        <v>0</v>
      </c>
      <c r="AD45" s="2256"/>
      <c r="AE45" s="2256"/>
      <c r="AF45" s="2257"/>
      <c r="AG45" s="2258">
        <v>0</v>
      </c>
      <c r="AH45" s="2259"/>
      <c r="AI45" s="2259"/>
      <c r="AJ45" s="2260"/>
      <c r="AK45" s="689"/>
      <c r="AL45" s="690"/>
      <c r="AM45" s="2284" t="s">
        <v>3263</v>
      </c>
      <c r="AN45" s="2284"/>
      <c r="AO45" s="2284"/>
      <c r="AP45" s="2285" t="s">
        <v>2389</v>
      </c>
      <c r="AQ45" s="2285"/>
      <c r="AR45" s="2285"/>
      <c r="AS45" s="2285"/>
      <c r="AT45" s="2286"/>
      <c r="AU45" s="171"/>
      <c r="AV45" s="386" t="b">
        <v>1</v>
      </c>
      <c r="AW45" s="387">
        <f>IF(AV45=TRUE,AV45*1,0)</f>
        <v>1</v>
      </c>
      <c r="AX45" s="387"/>
      <c r="AY45" s="387" t="str">
        <f>TEXT(BR45,"000")</f>
        <v>931</v>
      </c>
      <c r="AZ45" s="387">
        <f>AW45</f>
        <v>1</v>
      </c>
      <c r="BA45" s="83" t="str">
        <f>IF(O45="2回入金","92",IF(O45="早期2回","R2",IF(O45="早期3回","R3",IF(O45="早期4回","R4",IF(O45="早期6回","R6","")))))</f>
        <v>92</v>
      </c>
      <c r="BB45" s="83" t="str">
        <f>$AZ$14</f>
        <v>14</v>
      </c>
      <c r="BC45" s="83" t="s">
        <v>2065</v>
      </c>
      <c r="BD45" s="83">
        <f>ROW(C45)</f>
        <v>45</v>
      </c>
      <c r="BE45" s="83">
        <f>IF(AY45&amp;BC45=AY44&amp;BC44,BE44+1,1)</f>
        <v>1</v>
      </c>
      <c r="BF45" s="83" t="str">
        <f>AY45&amp;BC45&amp;BE45</f>
        <v>931931011</v>
      </c>
      <c r="BG45" s="83"/>
      <c r="BH45" s="83"/>
      <c r="BI45" s="83" t="str">
        <f>BR45&amp;"01"</f>
        <v>93101</v>
      </c>
      <c r="BJ45" s="83">
        <f>IF(L45=$BC$2,1,0)</f>
        <v>0</v>
      </c>
      <c r="BK45" s="83">
        <f>AZ45</f>
        <v>1</v>
      </c>
      <c r="BL45" s="628">
        <f t="shared" ca="1" si="11"/>
        <v>0</v>
      </c>
      <c r="BM45" s="628">
        <f t="shared" ca="1" si="11"/>
        <v>0</v>
      </c>
      <c r="BN45" s="391">
        <f t="shared" ca="1" si="11"/>
        <v>0</v>
      </c>
      <c r="BO45" s="391">
        <f t="shared" ca="1" si="11"/>
        <v>0</v>
      </c>
      <c r="BP45" s="388">
        <f t="shared" ca="1" si="11"/>
        <v>0</v>
      </c>
      <c r="BQ45" s="83"/>
      <c r="BR45" s="83">
        <v>931</v>
      </c>
      <c r="BZ45" s="583" t="s">
        <v>1364</v>
      </c>
      <c r="CA45" s="584" t="str">
        <f t="shared" si="0"/>
        <v>1600945</v>
      </c>
      <c r="CB45" s="585" t="s">
        <v>683</v>
      </c>
      <c r="CD45" s="108"/>
      <c r="CE45" s="108"/>
      <c r="CF45" s="108"/>
      <c r="CG45" s="23"/>
      <c r="CH45" s="49" t="s">
        <v>405</v>
      </c>
      <c r="CI45" s="49" t="s">
        <v>21</v>
      </c>
      <c r="CJ45" s="49" t="s">
        <v>607</v>
      </c>
      <c r="CK45" s="49" t="s">
        <v>216</v>
      </c>
      <c r="CL45" s="49" t="s">
        <v>90</v>
      </c>
      <c r="CM45" s="49"/>
      <c r="CN45" s="49" t="s">
        <v>843</v>
      </c>
      <c r="CO45" s="50" t="s">
        <v>235</v>
      </c>
      <c r="CP45" s="51" t="str">
        <f>DBCS(SUBSTITUTE(SUBSTITUTE(SUBSTITUTE(T(記入シート1!I61),"―","ー"),"－","‐"),"～","ー"))</f>
        <v/>
      </c>
      <c r="CQ45" s="2"/>
      <c r="CR45" s="45"/>
      <c r="CS45" s="45"/>
      <c r="CT45" s="2" t="s">
        <v>583</v>
      </c>
      <c r="CU45" s="45"/>
      <c r="CV45" s="10"/>
      <c r="CW45" s="34" t="s">
        <v>201</v>
      </c>
      <c r="CX45" s="34"/>
      <c r="CY45" s="40" t="s">
        <v>736</v>
      </c>
      <c r="CZ45" s="41" t="s">
        <v>343</v>
      </c>
      <c r="DA45" s="40"/>
      <c r="DB45" s="34" t="str">
        <f t="shared" si="3"/>
        <v>001</v>
      </c>
      <c r="DC45" s="81" t="s">
        <v>202</v>
      </c>
      <c r="DD45" s="34"/>
      <c r="DE45" s="64"/>
      <c r="DF45" s="64"/>
      <c r="DG45" s="64"/>
      <c r="DH45" s="435" t="s">
        <v>1912</v>
      </c>
      <c r="DI45" s="436" t="s">
        <v>1914</v>
      </c>
      <c r="DJ45" s="436" t="s">
        <v>1924</v>
      </c>
      <c r="DK45" s="75" t="str">
        <f t="shared" si="2"/>
        <v>107012Z1</v>
      </c>
      <c r="DL45" s="78" t="s">
        <v>1895</v>
      </c>
      <c r="DM45" s="78" t="s">
        <v>1941</v>
      </c>
      <c r="DN45" s="438" t="str">
        <f>AW26</f>
        <v>申込方法：</v>
      </c>
      <c r="DO45" s="30"/>
      <c r="DP45" s="83" t="s">
        <v>1294</v>
      </c>
      <c r="DQ45" s="83" t="s">
        <v>1168</v>
      </c>
      <c r="DR45" s="83" t="s">
        <v>1273</v>
      </c>
      <c r="DS45" s="83" t="s">
        <v>1300</v>
      </c>
      <c r="DT45" s="359" t="s">
        <v>1301</v>
      </c>
      <c r="DU45" s="361"/>
      <c r="DV45" s="23"/>
      <c r="DX45" s="85"/>
      <c r="DY45" s="85"/>
    </row>
    <row r="46" spans="1:129" ht="19.5" customHeight="1">
      <c r="A46" s="354"/>
      <c r="B46" s="181"/>
      <c r="C46" s="2250" t="s">
        <v>2058</v>
      </c>
      <c r="D46" s="2251"/>
      <c r="E46" s="2251"/>
      <c r="F46" s="2251"/>
      <c r="G46" s="2251"/>
      <c r="H46" s="2251"/>
      <c r="I46" s="2251"/>
      <c r="J46" s="378"/>
      <c r="K46" s="378"/>
      <c r="L46" s="2252"/>
      <c r="M46" s="2253"/>
      <c r="N46" s="2253"/>
      <c r="O46" s="2254"/>
      <c r="P46" s="2254"/>
      <c r="Q46" s="374"/>
      <c r="R46" s="374"/>
      <c r="S46" s="374"/>
      <c r="T46" s="374"/>
      <c r="U46" s="375"/>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527"/>
      <c r="AU46" s="171"/>
      <c r="AV46" s="691" t="str">
        <f>IF(OR(AP45="",LEFT(AP45,2)="00"),"",LEFT(AP45,2))</f>
        <v/>
      </c>
      <c r="AW46" s="253"/>
      <c r="AX46" s="253"/>
      <c r="AY46" s="253"/>
      <c r="AZ46" s="253"/>
      <c r="BA46" s="10"/>
      <c r="BB46" s="10"/>
      <c r="BC46" s="10"/>
      <c r="BD46" s="10"/>
      <c r="BE46" s="10"/>
      <c r="BF46" s="10"/>
      <c r="BG46" s="10"/>
      <c r="BH46" s="10"/>
      <c r="BI46" s="10"/>
      <c r="BJ46" s="10"/>
      <c r="BK46" s="10"/>
      <c r="BL46" s="10"/>
      <c r="BM46" s="10"/>
      <c r="BN46" s="10"/>
      <c r="BO46" s="10"/>
      <c r="BP46" s="10"/>
      <c r="BQ46" s="10"/>
      <c r="BR46" s="10"/>
      <c r="BZ46" s="583" t="s">
        <v>1365</v>
      </c>
      <c r="CA46" s="584" t="str">
        <f>TEXT(BZ46,"0000000")</f>
        <v>1601605</v>
      </c>
      <c r="CB46" s="585" t="s">
        <v>684</v>
      </c>
      <c r="CD46" s="108"/>
      <c r="CE46" s="108"/>
      <c r="CF46" s="108"/>
      <c r="CG46" s="23"/>
      <c r="CH46" s="49" t="s">
        <v>230</v>
      </c>
      <c r="CI46" s="49" t="s">
        <v>22</v>
      </c>
      <c r="CJ46" s="49">
        <v>100</v>
      </c>
      <c r="CK46" s="49" t="s">
        <v>216</v>
      </c>
      <c r="CL46" s="49" t="s">
        <v>90</v>
      </c>
      <c r="CM46" s="49"/>
      <c r="CN46" s="49"/>
      <c r="CO46" s="50" t="s">
        <v>229</v>
      </c>
      <c r="CP46" s="51" t="str">
        <f>ASC(SUBSTITUTE(SUBSTITUTE(SUBSTITUTE(SUBSTITUTE(T(記入シート1!I60),"ヴ","ウﾞ"),"―","ー"),"－","‐"),"～","ー"))</f>
        <v/>
      </c>
      <c r="CQ46" s="2"/>
      <c r="CR46" s="45"/>
      <c r="CS46" s="45"/>
      <c r="CT46" s="45"/>
      <c r="CU46" s="45"/>
      <c r="CV46" s="10"/>
      <c r="CW46" s="34" t="s">
        <v>726</v>
      </c>
      <c r="CX46" s="34"/>
      <c r="CY46" s="40"/>
      <c r="CZ46" s="41"/>
      <c r="DA46" s="40"/>
      <c r="DB46" s="34" t="str">
        <f t="shared" si="3"/>
        <v>001</v>
      </c>
      <c r="DC46" s="81" t="s">
        <v>199</v>
      </c>
      <c r="DD46" s="34"/>
      <c r="DE46" s="64"/>
      <c r="DF46" s="64"/>
      <c r="DG46" s="64"/>
      <c r="DH46" s="435" t="s">
        <v>1912</v>
      </c>
      <c r="DI46" s="436" t="s">
        <v>1915</v>
      </c>
      <c r="DJ46" s="436" t="s">
        <v>1913</v>
      </c>
      <c r="DK46" s="75" t="str">
        <f t="shared" si="2"/>
        <v>107012Z3</v>
      </c>
      <c r="DL46" s="78" t="s">
        <v>1895</v>
      </c>
      <c r="DM46" s="78" t="s">
        <v>1942</v>
      </c>
      <c r="DN46" s="438" t="str">
        <f>"3"</f>
        <v>3</v>
      </c>
      <c r="DO46" s="30"/>
      <c r="DP46" s="30"/>
      <c r="DQ46" s="367"/>
      <c r="DR46" s="367"/>
      <c r="DS46" s="367"/>
      <c r="DT46" s="367"/>
      <c r="DU46" s="367"/>
      <c r="DV46" s="23"/>
      <c r="DX46" s="85"/>
      <c r="DY46" s="85"/>
    </row>
    <row r="47" spans="1:129" ht="19.5" customHeight="1">
      <c r="A47" s="354"/>
      <c r="B47" s="181"/>
      <c r="C47" s="2211">
        <v>1</v>
      </c>
      <c r="D47" s="2212"/>
      <c r="E47" s="2212"/>
      <c r="F47" s="528" t="s">
        <v>824</v>
      </c>
      <c r="G47" s="2212">
        <v>14999</v>
      </c>
      <c r="H47" s="2212"/>
      <c r="I47" s="2213"/>
      <c r="J47" s="532"/>
      <c r="K47" s="514"/>
      <c r="L47" s="2214" t="s">
        <v>642</v>
      </c>
      <c r="M47" s="2215"/>
      <c r="N47" s="2216"/>
      <c r="O47" s="1521" t="s">
        <v>1071</v>
      </c>
      <c r="P47" s="2223"/>
      <c r="Q47" s="2067">
        <v>0</v>
      </c>
      <c r="R47" s="2068"/>
      <c r="S47" s="2068"/>
      <c r="T47" s="2069"/>
      <c r="U47" s="2233">
        <v>0</v>
      </c>
      <c r="V47" s="2234"/>
      <c r="W47" s="2234"/>
      <c r="X47" s="2235"/>
      <c r="Y47" s="2175">
        <v>0</v>
      </c>
      <c r="Z47" s="2175"/>
      <c r="AA47" s="2175"/>
      <c r="AB47" s="2175"/>
      <c r="AC47" s="2175">
        <v>0</v>
      </c>
      <c r="AD47" s="2175"/>
      <c r="AE47" s="2175"/>
      <c r="AF47" s="2175"/>
      <c r="AG47" s="2176">
        <v>0</v>
      </c>
      <c r="AH47" s="2176"/>
      <c r="AI47" s="2176"/>
      <c r="AJ47" s="2176"/>
      <c r="AK47" s="373"/>
      <c r="AL47" s="373"/>
      <c r="AM47" s="373"/>
      <c r="AN47" s="373"/>
      <c r="AO47" s="373"/>
      <c r="AP47" s="373"/>
      <c r="AQ47" s="373"/>
      <c r="AR47" s="373"/>
      <c r="AS47" s="373"/>
      <c r="AT47" s="527"/>
      <c r="AU47" s="171"/>
      <c r="AV47" s="386" t="b">
        <v>1</v>
      </c>
      <c r="AW47" s="387">
        <f>IF(AV47=TRUE,AV47*1,0)</f>
        <v>1</v>
      </c>
      <c r="AX47" s="387"/>
      <c r="AY47" s="387" t="str">
        <f>TEXT(BR47,"000")</f>
        <v>935</v>
      </c>
      <c r="AZ47" s="387">
        <f>AW47</f>
        <v>1</v>
      </c>
      <c r="BA47" s="83" t="str">
        <f>IF(O47="2回入金","92",IF(O47="早期2回","R2",IF(O47="早期3回","R3",IF(O47="早期4回","R4",IF(O47="早期6回","R6","")))))</f>
        <v>92</v>
      </c>
      <c r="BB47" s="83" t="str">
        <f>$AZ$14</f>
        <v>14</v>
      </c>
      <c r="BC47" s="83" t="s">
        <v>2067</v>
      </c>
      <c r="BD47" s="83">
        <f>ROW(C47)</f>
        <v>47</v>
      </c>
      <c r="BE47" s="83">
        <f>IF(AY47&amp;BC47=AY46&amp;BC46,BE46+1,1)</f>
        <v>1</v>
      </c>
      <c r="BF47" s="83" t="str">
        <f>AY47&amp;BC47&amp;BE47</f>
        <v>935000001</v>
      </c>
      <c r="BG47" s="83">
        <f>C47</f>
        <v>1</v>
      </c>
      <c r="BH47" s="83">
        <f>IF(BG47&gt;0,IF(LEN(G47)=0,999999999,VALUE(G47)*1),IF(LEN(G47)=0,0,VALUE(G47)*1))</f>
        <v>14999</v>
      </c>
      <c r="BI47" s="83" t="str">
        <f>BR47&amp;"01"</f>
        <v>93501</v>
      </c>
      <c r="BJ47" s="83">
        <f>IF(L47=$BC$2,1,0)</f>
        <v>1</v>
      </c>
      <c r="BK47" s="83">
        <f>AZ47</f>
        <v>1</v>
      </c>
      <c r="BL47" s="2206">
        <f ca="1">IF($AW47=0,"",INDIRECT(ADDRESS($BD47,BL$16)))</f>
        <v>0</v>
      </c>
      <c r="BM47" s="2206">
        <f ca="1">IF($AW47=0,"",INDIRECT(ADDRESS($BD47,BM$16)))</f>
        <v>0</v>
      </c>
      <c r="BN47" s="430">
        <f ca="1">IF($AW47=0,"",INDIRECT(ADDRESS($BD47,BN$16)))</f>
        <v>0</v>
      </c>
      <c r="BO47" s="430">
        <f ca="1">IF($AW47=0,"",INDIRECT(ADDRESS($BD47,BO$16)))</f>
        <v>0</v>
      </c>
      <c r="BP47" s="388">
        <f ca="1">IF($AW47=0,"",INDIRECT(ADDRESS($BD47,BP$16)))</f>
        <v>0</v>
      </c>
      <c r="BQ47" s="83"/>
      <c r="BR47" s="83">
        <v>935</v>
      </c>
      <c r="BZ47" s="583" t="s">
        <v>1366</v>
      </c>
      <c r="CA47" s="584" t="str">
        <f t="shared" si="0"/>
        <v>1601607</v>
      </c>
      <c r="CB47" s="585" t="s">
        <v>685</v>
      </c>
      <c r="CD47" s="108"/>
      <c r="CE47" s="108"/>
      <c r="CF47" s="108"/>
      <c r="CG47" s="23"/>
      <c r="CH47" s="49" t="s">
        <v>415</v>
      </c>
      <c r="CI47" s="49" t="s">
        <v>21</v>
      </c>
      <c r="CJ47" s="49">
        <v>100</v>
      </c>
      <c r="CK47" s="49" t="s">
        <v>216</v>
      </c>
      <c r="CL47" s="49" t="s">
        <v>90</v>
      </c>
      <c r="CM47" s="49"/>
      <c r="CN47" s="49" t="s">
        <v>606</v>
      </c>
      <c r="CO47" s="50" t="s">
        <v>233</v>
      </c>
      <c r="CP47" s="51" t="str">
        <f>DBCS(SUBSTITUTE(SUBSTITUTE(SUBSTITUTE(T(記入シート1!I61),"―","ー"),"－","‐"),"～","ー"))</f>
        <v/>
      </c>
      <c r="CQ47" s="2"/>
      <c r="CR47" s="45"/>
      <c r="CS47" s="45"/>
      <c r="CT47" s="45"/>
      <c r="CU47" s="45"/>
      <c r="CV47" s="10"/>
      <c r="CW47" s="34" t="s">
        <v>197</v>
      </c>
      <c r="CX47" s="34"/>
      <c r="CY47" s="40" t="s">
        <v>736</v>
      </c>
      <c r="CZ47" s="41" t="s">
        <v>343</v>
      </c>
      <c r="DA47" s="40"/>
      <c r="DB47" s="34" t="str">
        <f t="shared" si="3"/>
        <v>001</v>
      </c>
      <c r="DC47" s="81" t="s">
        <v>198</v>
      </c>
      <c r="DD47" s="34"/>
      <c r="DE47" s="64"/>
      <c r="DF47" s="64"/>
      <c r="DG47" s="64"/>
      <c r="DH47" s="435" t="s">
        <v>1916</v>
      </c>
      <c r="DI47" s="436" t="s">
        <v>1917</v>
      </c>
      <c r="DJ47" s="436" t="s">
        <v>1925</v>
      </c>
      <c r="DK47" s="75" t="str">
        <f t="shared" si="2"/>
        <v>10801302</v>
      </c>
      <c r="DL47" s="78" t="s">
        <v>1897</v>
      </c>
      <c r="DM47" s="78" t="s">
        <v>1943</v>
      </c>
      <c r="DN47" s="438" t="str">
        <f ca="1">IF(ASC(AW25)="0","",ASC(AW25))</f>
        <v/>
      </c>
      <c r="DO47" s="30"/>
      <c r="DP47" s="30"/>
      <c r="DQ47" s="367"/>
      <c r="DR47" s="367"/>
      <c r="DS47" s="367"/>
      <c r="DT47" s="367"/>
      <c r="DU47" s="367"/>
      <c r="DV47" s="23"/>
      <c r="DX47" s="85"/>
      <c r="DY47" s="85"/>
    </row>
    <row r="48" spans="1:129" ht="19.5" customHeight="1">
      <c r="A48" s="354"/>
      <c r="B48" s="181"/>
      <c r="C48" s="2207">
        <v>15000</v>
      </c>
      <c r="D48" s="2208"/>
      <c r="E48" s="2208"/>
      <c r="F48" s="516" t="s">
        <v>824</v>
      </c>
      <c r="G48" s="2209"/>
      <c r="H48" s="2209"/>
      <c r="I48" s="2210"/>
      <c r="J48" s="533"/>
      <c r="K48" s="134"/>
      <c r="L48" s="2217"/>
      <c r="M48" s="2218"/>
      <c r="N48" s="2219"/>
      <c r="O48" s="2224"/>
      <c r="P48" s="2225"/>
      <c r="Q48" s="2227"/>
      <c r="R48" s="2228"/>
      <c r="S48" s="2228"/>
      <c r="T48" s="2229"/>
      <c r="U48" s="2236"/>
      <c r="V48" s="2237"/>
      <c r="W48" s="2237"/>
      <c r="X48" s="2238"/>
      <c r="Y48" s="2175">
        <v>0</v>
      </c>
      <c r="Z48" s="2175"/>
      <c r="AA48" s="2175"/>
      <c r="AB48" s="2175"/>
      <c r="AC48" s="2175">
        <v>0</v>
      </c>
      <c r="AD48" s="2175"/>
      <c r="AE48" s="2175"/>
      <c r="AF48" s="2175"/>
      <c r="AG48" s="2176">
        <v>0</v>
      </c>
      <c r="AH48" s="2176"/>
      <c r="AI48" s="2176"/>
      <c r="AJ48" s="2176"/>
      <c r="AK48" s="373"/>
      <c r="AL48" s="373"/>
      <c r="AM48" s="373"/>
      <c r="AN48" s="373"/>
      <c r="AO48" s="373"/>
      <c r="AP48" s="373"/>
      <c r="AQ48" s="373"/>
      <c r="AR48" s="373"/>
      <c r="AS48" s="373"/>
      <c r="AT48" s="527"/>
      <c r="AU48" s="171"/>
      <c r="AV48" s="20"/>
      <c r="AW48" s="387">
        <f>AW47</f>
        <v>1</v>
      </c>
      <c r="AX48" s="387"/>
      <c r="AY48" s="387" t="str">
        <f>TEXT(BR48,"000")</f>
        <v>935</v>
      </c>
      <c r="AZ48" s="387">
        <f>AW48</f>
        <v>1</v>
      </c>
      <c r="BA48" s="83"/>
      <c r="BB48" s="83" t="str">
        <f>$AZ$14</f>
        <v>14</v>
      </c>
      <c r="BC48" s="83" t="s">
        <v>2067</v>
      </c>
      <c r="BD48" s="83">
        <f>ROW(C48)</f>
        <v>48</v>
      </c>
      <c r="BE48" s="83">
        <f>IF(AY48&amp;BC48=AY47&amp;BC47,BE47+1,1)</f>
        <v>2</v>
      </c>
      <c r="BF48" s="83" t="str">
        <f>AY48&amp;BC48&amp;BE48</f>
        <v>935000002</v>
      </c>
      <c r="BG48" s="83">
        <f>C48</f>
        <v>15000</v>
      </c>
      <c r="BH48" s="534">
        <f>IF(BG48&gt;0,IF(LEN(G48)=0,999999999,VALUE(G48)*1),IF(LEN(G48)=0,0,VALUE(G48)*1))</f>
        <v>999999999</v>
      </c>
      <c r="BI48" s="83" t="str">
        <f>BR48&amp;"01"</f>
        <v>93501</v>
      </c>
      <c r="BJ48" s="83">
        <f>BJ47</f>
        <v>1</v>
      </c>
      <c r="BK48" s="83">
        <f>AZ48</f>
        <v>1</v>
      </c>
      <c r="BL48" s="2206"/>
      <c r="BM48" s="2206"/>
      <c r="BN48" s="430">
        <f t="shared" ref="BN48:BP49" ca="1" si="12">IF($AW48=0,"",INDIRECT(ADDRESS($BD48,BN$16)))</f>
        <v>0</v>
      </c>
      <c r="BO48" s="430">
        <f t="shared" ca="1" si="12"/>
        <v>0</v>
      </c>
      <c r="BP48" s="388">
        <f t="shared" ca="1" si="12"/>
        <v>0</v>
      </c>
      <c r="BQ48" s="83"/>
      <c r="BR48" s="83">
        <v>935</v>
      </c>
      <c r="BZ48" s="583" t="s">
        <v>1325</v>
      </c>
      <c r="CA48" s="584" t="str">
        <f t="shared" si="0"/>
        <v>1602484</v>
      </c>
      <c r="CB48" s="585" t="s">
        <v>686</v>
      </c>
      <c r="CD48" s="108"/>
      <c r="CE48" s="108"/>
      <c r="CF48" s="108"/>
      <c r="CG48" s="23"/>
      <c r="CH48" s="49" t="s">
        <v>416</v>
      </c>
      <c r="CI48" s="49" t="s">
        <v>22</v>
      </c>
      <c r="CJ48" s="49">
        <v>100</v>
      </c>
      <c r="CK48" s="49" t="s">
        <v>216</v>
      </c>
      <c r="CL48" s="49" t="s">
        <v>90</v>
      </c>
      <c r="CM48" s="49"/>
      <c r="CN48" s="49"/>
      <c r="CO48" s="50" t="s">
        <v>226</v>
      </c>
      <c r="CP48" s="51" t="str">
        <f>UPPER(ASC(SUBSTITUTE(SUBSTITUTE(SUBSTITUTE(T(記入シート1!I64),"―","ー"),"－","‐"),"～","ー")))</f>
        <v/>
      </c>
      <c r="CQ48" s="2"/>
      <c r="CR48" s="45"/>
      <c r="CS48" s="45"/>
      <c r="CT48" s="45"/>
      <c r="CU48" s="45"/>
      <c r="CV48" s="10"/>
      <c r="CW48" s="34" t="s">
        <v>194</v>
      </c>
      <c r="CX48" s="34"/>
      <c r="CY48" s="40" t="s">
        <v>736</v>
      </c>
      <c r="CZ48" s="41" t="s">
        <v>343</v>
      </c>
      <c r="DA48" s="40"/>
      <c r="DB48" s="34" t="str">
        <f t="shared" si="3"/>
        <v>001</v>
      </c>
      <c r="DC48" s="81" t="s">
        <v>195</v>
      </c>
      <c r="DD48" s="34"/>
      <c r="DE48" s="64"/>
      <c r="DF48" s="64"/>
      <c r="DG48" s="64"/>
      <c r="DH48" s="435" t="s">
        <v>1916</v>
      </c>
      <c r="DI48" s="436" t="s">
        <v>1918</v>
      </c>
      <c r="DJ48" s="436" t="s">
        <v>1903</v>
      </c>
      <c r="DK48" s="75" t="str">
        <f t="shared" si="2"/>
        <v>10801303</v>
      </c>
      <c r="DL48" s="78" t="s">
        <v>1897</v>
      </c>
      <c r="DM48" s="78" t="s">
        <v>1944</v>
      </c>
      <c r="DN48" s="438" t="str">
        <f>IF(記入シート1!AV69=TRUE,記入シート1!AV36,記入シート1!AV72)</f>
        <v>00</v>
      </c>
      <c r="DO48" s="30"/>
      <c r="DP48" s="30"/>
      <c r="DQ48" s="367"/>
      <c r="DR48" s="367"/>
      <c r="DS48" s="367"/>
      <c r="DT48" s="367"/>
      <c r="DU48" s="367"/>
      <c r="DV48" s="23"/>
      <c r="DX48" s="85"/>
      <c r="DY48" s="85"/>
    </row>
    <row r="49" spans="1:129" ht="19.5" hidden="1" customHeight="1">
      <c r="A49" s="354" t="s">
        <v>1234</v>
      </c>
      <c r="B49" s="181"/>
      <c r="C49" s="2207"/>
      <c r="D49" s="2208"/>
      <c r="E49" s="2208"/>
      <c r="F49" s="516" t="s">
        <v>824</v>
      </c>
      <c r="G49" s="2208"/>
      <c r="H49" s="2208"/>
      <c r="I49" s="2242"/>
      <c r="J49" s="535"/>
      <c r="K49" s="513"/>
      <c r="L49" s="2220"/>
      <c r="M49" s="2221"/>
      <c r="N49" s="2222"/>
      <c r="O49" s="1522"/>
      <c r="P49" s="2226"/>
      <c r="Q49" s="2230"/>
      <c r="R49" s="2231"/>
      <c r="S49" s="2231"/>
      <c r="T49" s="2232"/>
      <c r="U49" s="2239"/>
      <c r="V49" s="2240"/>
      <c r="W49" s="2240"/>
      <c r="X49" s="2241"/>
      <c r="Y49" s="2175">
        <v>0</v>
      </c>
      <c r="Z49" s="2175"/>
      <c r="AA49" s="2175"/>
      <c r="AB49" s="2175"/>
      <c r="AC49" s="2175">
        <v>0</v>
      </c>
      <c r="AD49" s="2175"/>
      <c r="AE49" s="2175"/>
      <c r="AF49" s="2175"/>
      <c r="AG49" s="2176">
        <v>0</v>
      </c>
      <c r="AH49" s="2176"/>
      <c r="AI49" s="2176"/>
      <c r="AJ49" s="2176"/>
      <c r="AK49" s="373"/>
      <c r="AL49" s="373"/>
      <c r="AM49" s="373"/>
      <c r="AN49" s="373"/>
      <c r="AO49" s="373"/>
      <c r="AP49" s="373"/>
      <c r="AQ49" s="373"/>
      <c r="AR49" s="373"/>
      <c r="AS49" s="373"/>
      <c r="AT49" s="527"/>
      <c r="AU49" s="171"/>
      <c r="AV49" s="20"/>
      <c r="AW49" s="387">
        <f>AW48</f>
        <v>1</v>
      </c>
      <c r="AX49" s="387"/>
      <c r="AY49" s="387" t="str">
        <f>TEXT(BR49,"000")</f>
        <v>935</v>
      </c>
      <c r="AZ49" s="387">
        <f>AW49</f>
        <v>1</v>
      </c>
      <c r="BA49" s="83"/>
      <c r="BB49" s="83" t="str">
        <f>$AZ$14</f>
        <v>14</v>
      </c>
      <c r="BC49" s="83" t="s">
        <v>2067</v>
      </c>
      <c r="BD49" s="83">
        <f>ROW(C49)</f>
        <v>49</v>
      </c>
      <c r="BE49" s="83">
        <f>IF(AY49&amp;BC49=AY48&amp;BC48,BE48+1,1)</f>
        <v>3</v>
      </c>
      <c r="BF49" s="83" t="str">
        <f>AY49&amp;BC49&amp;BE49</f>
        <v>935000003</v>
      </c>
      <c r="BG49" s="83">
        <f>C49</f>
        <v>0</v>
      </c>
      <c r="BH49" s="83">
        <f>IF(BG49&gt;0,IF(LEN(G49)=0,999999999,VALUE(G49)*1),IF(LEN(G49)=0,0,VALUE(G49)*1))</f>
        <v>0</v>
      </c>
      <c r="BI49" s="83" t="str">
        <f>BR49&amp;"01"</f>
        <v>93501</v>
      </c>
      <c r="BJ49" s="83">
        <f>BJ48</f>
        <v>1</v>
      </c>
      <c r="BK49" s="83">
        <f>AZ49</f>
        <v>1</v>
      </c>
      <c r="BL49" s="2206"/>
      <c r="BM49" s="2206"/>
      <c r="BN49" s="430">
        <f t="shared" ca="1" si="12"/>
        <v>0</v>
      </c>
      <c r="BO49" s="430">
        <f t="shared" ca="1" si="12"/>
        <v>0</v>
      </c>
      <c r="BP49" s="388">
        <f t="shared" ca="1" si="12"/>
        <v>0</v>
      </c>
      <c r="BQ49" s="83"/>
      <c r="BR49" s="83">
        <v>935</v>
      </c>
      <c r="BY49" s="11"/>
      <c r="BZ49" s="583">
        <v>1602485</v>
      </c>
      <c r="CA49" s="584" t="str">
        <f t="shared" si="0"/>
        <v>1602485</v>
      </c>
      <c r="CB49" s="585" t="s">
        <v>687</v>
      </c>
      <c r="CD49" s="108"/>
      <c r="CE49" s="108"/>
      <c r="CF49" s="108"/>
      <c r="CG49" s="23"/>
      <c r="CH49" s="49" t="s">
        <v>24</v>
      </c>
      <c r="CI49" s="49" t="s">
        <v>22</v>
      </c>
      <c r="CJ49" s="49">
        <v>8</v>
      </c>
      <c r="CK49" s="49" t="s">
        <v>216</v>
      </c>
      <c r="CL49" s="49" t="s">
        <v>90</v>
      </c>
      <c r="CM49" s="49"/>
      <c r="CN49" s="49"/>
      <c r="CO49" s="50" t="s">
        <v>556</v>
      </c>
      <c r="CP49" s="51" t="str">
        <f>IF(記入シート1!AV69=TRUE,CP20,ASC(記入シート1!J71&amp;"-"&amp;記入シート1!M71))</f>
        <v>-</v>
      </c>
      <c r="CQ49" s="2"/>
      <c r="CR49" s="45"/>
      <c r="CS49" s="45"/>
      <c r="CT49" s="45"/>
      <c r="CU49" s="45"/>
      <c r="CV49" s="10"/>
      <c r="CW49" s="34" t="s">
        <v>727</v>
      </c>
      <c r="CX49" s="34"/>
      <c r="CY49" s="217"/>
      <c r="CZ49" s="218"/>
      <c r="DA49" s="218"/>
      <c r="DB49" s="34" t="str">
        <f t="shared" si="3"/>
        <v>101</v>
      </c>
      <c r="DC49" s="81" t="s">
        <v>192</v>
      </c>
      <c r="DD49" s="96"/>
      <c r="DE49" s="64"/>
      <c r="DF49" s="64"/>
      <c r="DG49" s="64"/>
      <c r="DH49" s="435" t="s">
        <v>1916</v>
      </c>
      <c r="DI49" s="436" t="s">
        <v>1922</v>
      </c>
      <c r="DJ49" s="436" t="s">
        <v>1925</v>
      </c>
      <c r="DK49" s="75" t="str">
        <f t="shared" si="2"/>
        <v>10801304</v>
      </c>
      <c r="DL49" s="78" t="s">
        <v>1897</v>
      </c>
      <c r="DM49" s="78" t="s">
        <v>1945</v>
      </c>
      <c r="DN49" s="438" t="str">
        <f>"11301027"</f>
        <v>11301027</v>
      </c>
      <c r="DO49" s="30"/>
      <c r="DP49" s="30"/>
      <c r="DQ49" s="367"/>
      <c r="DR49" s="367"/>
      <c r="DS49" s="367"/>
      <c r="DT49" s="367"/>
      <c r="DU49" s="367"/>
      <c r="DV49" s="23"/>
      <c r="DX49" s="85"/>
      <c r="DY49" s="85"/>
    </row>
    <row r="50" spans="1:129" ht="19.5" customHeight="1" thickBot="1">
      <c r="A50" s="354"/>
      <c r="B50" s="181"/>
      <c r="C50" s="2243" t="s">
        <v>3658</v>
      </c>
      <c r="D50" s="2244"/>
      <c r="E50" s="2244"/>
      <c r="F50" s="2244"/>
      <c r="G50" s="2244"/>
      <c r="H50" s="2244"/>
      <c r="I50" s="2245"/>
      <c r="J50" s="780"/>
      <c r="K50" s="781"/>
      <c r="L50" s="2249" t="s">
        <v>642</v>
      </c>
      <c r="M50" s="2186"/>
      <c r="N50" s="2187"/>
      <c r="O50" s="2453" t="s">
        <v>1071</v>
      </c>
      <c r="P50" s="2454"/>
      <c r="Q50" s="2189">
        <v>0</v>
      </c>
      <c r="R50" s="2189"/>
      <c r="S50" s="2189"/>
      <c r="T50" s="2189"/>
      <c r="U50" s="2149">
        <v>0</v>
      </c>
      <c r="V50" s="2149"/>
      <c r="W50" s="2149"/>
      <c r="X50" s="2149"/>
      <c r="Y50" s="2148">
        <v>0</v>
      </c>
      <c r="Z50" s="2148"/>
      <c r="AA50" s="2148"/>
      <c r="AB50" s="2148"/>
      <c r="AC50" s="2148">
        <v>0</v>
      </c>
      <c r="AD50" s="2148"/>
      <c r="AE50" s="2148"/>
      <c r="AF50" s="2148"/>
      <c r="AG50" s="2149">
        <v>0</v>
      </c>
      <c r="AH50" s="2149"/>
      <c r="AI50" s="2149"/>
      <c r="AJ50" s="2149"/>
      <c r="AK50" s="704"/>
      <c r="AL50" s="704"/>
      <c r="AM50" s="704"/>
      <c r="AN50" s="704"/>
      <c r="AO50" s="704"/>
      <c r="AP50" s="704"/>
      <c r="AQ50" s="704"/>
      <c r="AR50" s="704"/>
      <c r="AS50" s="704"/>
      <c r="AT50" s="705"/>
      <c r="AU50" s="171"/>
      <c r="AV50" s="20" t="b">
        <v>1</v>
      </c>
      <c r="AW50" s="493"/>
      <c r="AX50" s="493"/>
      <c r="AY50" s="493"/>
      <c r="AZ50" s="493"/>
      <c r="BA50" s="494"/>
      <c r="BB50" s="494"/>
      <c r="BC50" s="494"/>
      <c r="BD50" s="494"/>
      <c r="BE50" s="494"/>
      <c r="BF50" s="494"/>
      <c r="BG50" s="494"/>
      <c r="BH50" s="494"/>
      <c r="BI50" s="494"/>
      <c r="BJ50" s="494"/>
      <c r="BK50" s="494"/>
      <c r="BL50" s="629"/>
      <c r="BM50" s="629"/>
      <c r="BN50" s="494"/>
      <c r="BO50" s="494"/>
      <c r="BP50" s="494"/>
      <c r="BQ50" s="494"/>
      <c r="BR50" s="494"/>
      <c r="BY50" s="11"/>
      <c r="BZ50" s="583" t="s">
        <v>1326</v>
      </c>
      <c r="CA50" s="584" t="str">
        <f t="shared" si="0"/>
        <v>1604187</v>
      </c>
      <c r="CB50" s="585" t="s">
        <v>1375</v>
      </c>
      <c r="CD50" s="108"/>
      <c r="CE50" s="108"/>
      <c r="CF50" s="108"/>
      <c r="CG50" s="23"/>
      <c r="CH50" s="49" t="s">
        <v>23</v>
      </c>
      <c r="CI50" s="49" t="s">
        <v>21</v>
      </c>
      <c r="CJ50" s="49">
        <v>255</v>
      </c>
      <c r="CK50" s="49" t="s">
        <v>216</v>
      </c>
      <c r="CL50" s="49" t="s">
        <v>90</v>
      </c>
      <c r="CM50" s="49"/>
      <c r="CN50" s="49"/>
      <c r="CO50" s="50" t="s">
        <v>558</v>
      </c>
      <c r="CP50" s="51"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2"/>
      <c r="CR50" s="45"/>
      <c r="CS50" s="45"/>
      <c r="CT50" s="45"/>
      <c r="CU50" s="45"/>
      <c r="CV50" s="10"/>
      <c r="CW50" s="34" t="s">
        <v>91</v>
      </c>
      <c r="CX50" s="34" t="s">
        <v>753</v>
      </c>
      <c r="CY50" s="40" t="s">
        <v>759</v>
      </c>
      <c r="CZ50" s="41" t="s">
        <v>349</v>
      </c>
      <c r="DA50" s="40"/>
      <c r="DB50" s="34" t="str">
        <f t="shared" si="3"/>
        <v>101</v>
      </c>
      <c r="DC50" s="81" t="s">
        <v>190</v>
      </c>
      <c r="DD50" s="96"/>
      <c r="DE50" s="64"/>
      <c r="DF50" s="64"/>
      <c r="DG50" s="64"/>
      <c r="DH50" s="435" t="s">
        <v>1916</v>
      </c>
      <c r="DI50" s="436" t="s">
        <v>1919</v>
      </c>
      <c r="DJ50" s="436" t="s">
        <v>1925</v>
      </c>
      <c r="DK50" s="75" t="str">
        <f t="shared" si="2"/>
        <v>10801305</v>
      </c>
      <c r="DL50" s="78" t="s">
        <v>1897</v>
      </c>
      <c r="DM50" s="78" t="s">
        <v>1946</v>
      </c>
      <c r="DN50" s="438" t="str">
        <f>"13550000"</f>
        <v>13550000</v>
      </c>
      <c r="DO50" s="30"/>
      <c r="DP50" s="30"/>
      <c r="DQ50" s="367"/>
      <c r="DR50" s="367"/>
      <c r="DS50" s="367"/>
      <c r="DT50" s="367"/>
      <c r="DU50" s="367"/>
      <c r="DV50" s="23"/>
      <c r="DX50" s="85"/>
      <c r="DY50" s="85"/>
    </row>
    <row r="51" spans="1:129" ht="19.5" customHeight="1" thickTop="1" thickBot="1">
      <c r="A51" s="354"/>
      <c r="B51" s="181"/>
      <c r="C51" s="2246"/>
      <c r="D51" s="2247"/>
      <c r="E51" s="2247"/>
      <c r="F51" s="2247"/>
      <c r="G51" s="2247"/>
      <c r="H51" s="2247"/>
      <c r="I51" s="2248"/>
      <c r="J51" s="2039" t="s">
        <v>3659</v>
      </c>
      <c r="K51" s="2039"/>
      <c r="L51" s="2039"/>
      <c r="M51" s="2039"/>
      <c r="N51" s="2040"/>
      <c r="O51" s="2455" t="s">
        <v>2072</v>
      </c>
      <c r="P51" s="2456"/>
      <c r="Q51" s="2457" t="s">
        <v>3708</v>
      </c>
      <c r="R51" s="2458"/>
      <c r="S51" s="2458"/>
      <c r="T51" s="2458"/>
      <c r="U51" s="2458"/>
      <c r="V51" s="2458"/>
      <c r="W51" s="2458"/>
      <c r="X51" s="2458"/>
      <c r="Y51" s="2455" t="s">
        <v>2074</v>
      </c>
      <c r="Z51" s="2456"/>
      <c r="AA51" s="2459" t="s">
        <v>3821</v>
      </c>
      <c r="AB51" s="2460"/>
      <c r="AC51" s="2460"/>
      <c r="AD51" s="2460"/>
      <c r="AE51" s="2460"/>
      <c r="AF51" s="2460"/>
      <c r="AG51" s="2460"/>
      <c r="AH51" s="2460"/>
      <c r="AI51" s="2460"/>
      <c r="AJ51" s="2461"/>
      <c r="AK51" s="786"/>
      <c r="AL51" s="725"/>
      <c r="AM51" s="725"/>
      <c r="AN51" s="725"/>
      <c r="AO51" s="725"/>
      <c r="AP51" s="725"/>
      <c r="AQ51" s="725"/>
      <c r="AR51" s="725"/>
      <c r="AS51" s="725"/>
      <c r="AT51" s="787"/>
      <c r="AU51" s="171"/>
      <c r="AV51" s="20"/>
      <c r="AW51" s="493"/>
      <c r="AX51" s="493"/>
      <c r="AY51" s="493"/>
      <c r="AZ51" s="493"/>
      <c r="BA51" s="494"/>
      <c r="BB51" s="494"/>
      <c r="BC51" s="494"/>
      <c r="BD51" s="494"/>
      <c r="BE51" s="494"/>
      <c r="BF51" s="494"/>
      <c r="BG51" s="494"/>
      <c r="BH51" s="494"/>
      <c r="BI51" s="494"/>
      <c r="BJ51" s="494"/>
      <c r="BK51" s="494"/>
      <c r="BL51" s="629"/>
      <c r="BM51" s="629"/>
      <c r="BN51" s="494"/>
      <c r="BO51" s="494"/>
      <c r="BP51" s="494"/>
      <c r="BQ51" s="494"/>
      <c r="BR51" s="494"/>
      <c r="BY51" s="11"/>
      <c r="BZ51" s="583" t="s">
        <v>1327</v>
      </c>
      <c r="CA51" s="584" t="str">
        <f>TEXT(BZ51,"0000000")</f>
        <v>1605143</v>
      </c>
      <c r="CB51" s="585" t="s">
        <v>1376</v>
      </c>
      <c r="CD51" s="108"/>
      <c r="CE51" s="108"/>
      <c r="CF51" s="108"/>
      <c r="CG51" s="23"/>
      <c r="CH51" s="49" t="s">
        <v>885</v>
      </c>
      <c r="CI51" s="49" t="s">
        <v>22</v>
      </c>
      <c r="CJ51" s="49">
        <v>255</v>
      </c>
      <c r="CK51" s="49" t="s">
        <v>216</v>
      </c>
      <c r="CL51" s="49" t="s">
        <v>90</v>
      </c>
      <c r="CM51" s="49"/>
      <c r="CN51" s="49"/>
      <c r="CO51" s="50" t="s">
        <v>559</v>
      </c>
      <c r="CP51" s="51"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2"/>
      <c r="CR51" s="45"/>
      <c r="CS51" s="45"/>
      <c r="CT51" s="45"/>
      <c r="CU51" s="45"/>
      <c r="CV51" s="10"/>
      <c r="CW51" s="34" t="s">
        <v>187</v>
      </c>
      <c r="CX51" s="34" t="s">
        <v>90</v>
      </c>
      <c r="CY51" s="40" t="s">
        <v>740</v>
      </c>
      <c r="CZ51" s="41" t="s">
        <v>354</v>
      </c>
      <c r="DA51" s="219" t="s">
        <v>630</v>
      </c>
      <c r="DB51" s="34" t="str">
        <f t="shared" si="3"/>
        <v>101</v>
      </c>
      <c r="DC51" s="81" t="s">
        <v>188</v>
      </c>
      <c r="DD51" s="96"/>
      <c r="DE51" s="64"/>
      <c r="DF51" s="64"/>
      <c r="DG51" s="64"/>
      <c r="DH51" s="435" t="s">
        <v>1916</v>
      </c>
      <c r="DI51" s="436" t="s">
        <v>1920</v>
      </c>
      <c r="DJ51" s="436" t="s">
        <v>1925</v>
      </c>
      <c r="DK51" s="75" t="str">
        <f t="shared" si="2"/>
        <v>10801306</v>
      </c>
      <c r="DL51" s="78" t="s">
        <v>1897</v>
      </c>
      <c r="DM51" s="78" t="s">
        <v>1947</v>
      </c>
      <c r="DN51" s="438" t="str">
        <f>"13550000"</f>
        <v>13550000</v>
      </c>
      <c r="DO51" s="30"/>
      <c r="DP51" s="30"/>
      <c r="DQ51" s="367"/>
      <c r="DR51" s="367"/>
      <c r="DS51" s="367"/>
      <c r="DT51" s="367"/>
      <c r="DU51" s="367"/>
      <c r="DV51" s="23"/>
      <c r="DX51" s="85"/>
      <c r="DY51" s="85"/>
    </row>
    <row r="52" spans="1:129" ht="19.5" hidden="1" customHeight="1">
      <c r="A52" s="354" t="s">
        <v>1234</v>
      </c>
      <c r="B52" s="181"/>
      <c r="C52" s="515"/>
      <c r="D52" s="516"/>
      <c r="E52" s="516"/>
      <c r="F52" s="516"/>
      <c r="G52" s="516"/>
      <c r="H52" s="516"/>
      <c r="I52" s="516"/>
      <c r="J52" s="378"/>
      <c r="K52" s="378"/>
      <c r="L52" s="385"/>
      <c r="M52" s="562"/>
      <c r="N52" s="374"/>
      <c r="O52" s="381"/>
      <c r="P52" s="381"/>
      <c r="Q52" s="2205">
        <v>0</v>
      </c>
      <c r="R52" s="2205"/>
      <c r="S52" s="2205"/>
      <c r="T52" s="2205"/>
      <c r="U52" s="2176">
        <v>0</v>
      </c>
      <c r="V52" s="2176"/>
      <c r="W52" s="2176"/>
      <c r="X52" s="2176"/>
      <c r="Y52" s="2175">
        <v>0</v>
      </c>
      <c r="Z52" s="2175"/>
      <c r="AA52" s="2175"/>
      <c r="AB52" s="2175"/>
      <c r="AC52" s="2175">
        <v>0</v>
      </c>
      <c r="AD52" s="2175"/>
      <c r="AE52" s="2175"/>
      <c r="AF52" s="2175"/>
      <c r="AG52" s="2176">
        <v>0</v>
      </c>
      <c r="AH52" s="2176"/>
      <c r="AI52" s="2176"/>
      <c r="AJ52" s="2176"/>
      <c r="AK52" s="373"/>
      <c r="AL52" s="373"/>
      <c r="AM52" s="373"/>
      <c r="AN52" s="373"/>
      <c r="AO52" s="373"/>
      <c r="AP52" s="373"/>
      <c r="AQ52" s="373"/>
      <c r="AR52" s="373"/>
      <c r="AS52" s="373"/>
      <c r="AT52" s="527"/>
      <c r="AU52" s="171"/>
      <c r="AV52" s="20"/>
      <c r="AW52" s="493"/>
      <c r="AX52" s="493"/>
      <c r="AY52" s="493"/>
      <c r="AZ52" s="493"/>
      <c r="BA52" s="494"/>
      <c r="BB52" s="494"/>
      <c r="BC52" s="494"/>
      <c r="BD52" s="494"/>
      <c r="BE52" s="494"/>
      <c r="BF52" s="494"/>
      <c r="BG52" s="494"/>
      <c r="BH52" s="494"/>
      <c r="BI52" s="494"/>
      <c r="BJ52" s="494"/>
      <c r="BK52" s="494"/>
      <c r="BL52" s="629"/>
      <c r="BM52" s="629"/>
      <c r="BN52" s="494"/>
      <c r="BO52" s="494"/>
      <c r="BP52" s="494"/>
      <c r="BQ52" s="494"/>
      <c r="BR52" s="494"/>
      <c r="BZ52" s="583" t="s">
        <v>1367</v>
      </c>
      <c r="CA52" s="584" t="str">
        <f t="shared" si="0"/>
        <v>1605144</v>
      </c>
      <c r="CB52" s="585" t="s">
        <v>1377</v>
      </c>
      <c r="CD52" s="108"/>
      <c r="CE52" s="108"/>
      <c r="CF52" s="108"/>
      <c r="CG52" s="25"/>
      <c r="CH52" s="355" t="s">
        <v>1169</v>
      </c>
      <c r="CI52" s="355" t="s">
        <v>1244</v>
      </c>
      <c r="CJ52" s="355">
        <v>13</v>
      </c>
      <c r="CK52" s="355"/>
      <c r="CL52" s="355"/>
      <c r="CM52" s="355"/>
      <c r="CN52" s="355"/>
      <c r="CO52" s="356" t="s">
        <v>1245</v>
      </c>
      <c r="CP52" s="357" t="str">
        <f>ASC(記入シート1!I76)&amp;"-"&amp;ASC(記入シート1!O76)&amp;"-"&amp;ASC(記入シート1!T76)</f>
        <v>--</v>
      </c>
      <c r="CQ52" s="2"/>
      <c r="CR52" s="45"/>
      <c r="CS52" s="45"/>
      <c r="CT52" s="45"/>
      <c r="CU52" s="45"/>
      <c r="CV52" s="10"/>
      <c r="CW52" s="34" t="s">
        <v>184</v>
      </c>
      <c r="CX52" s="34" t="s">
        <v>90</v>
      </c>
      <c r="CY52" s="40" t="s">
        <v>741</v>
      </c>
      <c r="CZ52" s="41" t="s">
        <v>343</v>
      </c>
      <c r="DA52" s="40" t="s">
        <v>754</v>
      </c>
      <c r="DB52" s="34" t="str">
        <f t="shared" si="3"/>
        <v>101</v>
      </c>
      <c r="DC52" s="81" t="s">
        <v>185</v>
      </c>
      <c r="DD52" s="96"/>
      <c r="DE52" s="87"/>
      <c r="DF52" s="64"/>
      <c r="DG52" s="64"/>
      <c r="DH52" s="435" t="s">
        <v>1916</v>
      </c>
      <c r="DI52" s="436" t="s">
        <v>1921</v>
      </c>
      <c r="DJ52" s="436" t="s">
        <v>1925</v>
      </c>
      <c r="DK52" s="75" t="str">
        <f t="shared" si="2"/>
        <v>10801307</v>
      </c>
      <c r="DL52" s="78" t="s">
        <v>1897</v>
      </c>
      <c r="DM52" s="78" t="s">
        <v>1948</v>
      </c>
      <c r="DN52" s="438" t="str">
        <f>"13550000"</f>
        <v>13550000</v>
      </c>
      <c r="DO52" s="30"/>
      <c r="DP52" s="30"/>
      <c r="DQ52" s="367"/>
      <c r="DR52" s="367"/>
      <c r="DS52" s="367"/>
      <c r="DT52" s="367"/>
      <c r="DU52" s="367"/>
      <c r="DV52" s="23"/>
      <c r="DX52" s="85"/>
      <c r="DY52" s="85"/>
    </row>
    <row r="53" spans="1:129" ht="19.5" hidden="1" customHeight="1">
      <c r="A53" s="354" t="s">
        <v>1234</v>
      </c>
      <c r="B53" s="181"/>
      <c r="C53" s="515"/>
      <c r="D53" s="516"/>
      <c r="E53" s="516"/>
      <c r="F53" s="516"/>
      <c r="G53" s="516"/>
      <c r="H53" s="516"/>
      <c r="I53" s="516"/>
      <c r="J53" s="378"/>
      <c r="K53" s="378"/>
      <c r="L53" s="385"/>
      <c r="M53" s="562"/>
      <c r="N53" s="374"/>
      <c r="O53" s="374"/>
      <c r="P53" s="374"/>
      <c r="Q53" s="374"/>
      <c r="R53" s="374"/>
      <c r="S53" s="374"/>
      <c r="T53" s="374"/>
      <c r="U53" s="375"/>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527"/>
      <c r="AU53" s="171"/>
      <c r="AV53" s="20"/>
      <c r="BZ53" s="583" t="s">
        <v>1328</v>
      </c>
      <c r="CA53" s="584" t="str">
        <f t="shared" si="0"/>
        <v>1607288</v>
      </c>
      <c r="CB53" s="585" t="s">
        <v>1378</v>
      </c>
      <c r="CD53" s="108"/>
      <c r="CE53" s="108"/>
      <c r="CF53" s="108"/>
      <c r="CG53" s="26"/>
      <c r="CH53" s="49" t="s">
        <v>223</v>
      </c>
      <c r="CI53" s="49" t="s">
        <v>22</v>
      </c>
      <c r="CJ53" s="49">
        <v>128</v>
      </c>
      <c r="CK53" s="49" t="s">
        <v>216</v>
      </c>
      <c r="CL53" s="49" t="s">
        <v>90</v>
      </c>
      <c r="CM53" s="49"/>
      <c r="CN53" s="49"/>
      <c r="CO53" s="50" t="s">
        <v>222</v>
      </c>
      <c r="CP53" s="51" t="str">
        <f>ASC(記入シート1!I77)</f>
        <v/>
      </c>
      <c r="CQ53" s="2"/>
      <c r="CR53" s="45"/>
      <c r="CS53" s="45"/>
      <c r="CT53" s="45"/>
      <c r="CU53" s="45"/>
      <c r="CV53" s="10"/>
      <c r="CW53" s="34" t="s">
        <v>181</v>
      </c>
      <c r="CX53" s="34" t="s">
        <v>90</v>
      </c>
      <c r="CY53" s="40" t="s">
        <v>736</v>
      </c>
      <c r="CZ53" s="41" t="s">
        <v>343</v>
      </c>
      <c r="DA53" s="40"/>
      <c r="DB53" s="34" t="str">
        <f t="shared" si="3"/>
        <v>101</v>
      </c>
      <c r="DC53" s="81" t="s">
        <v>182</v>
      </c>
      <c r="DD53" s="96"/>
      <c r="DE53" s="87"/>
      <c r="DF53" s="64"/>
      <c r="DG53" s="64"/>
      <c r="DH53" s="435" t="s">
        <v>1986</v>
      </c>
      <c r="DI53" s="436" t="s">
        <v>1987</v>
      </c>
      <c r="DJ53" s="436" t="s">
        <v>1988</v>
      </c>
      <c r="DK53" s="75" t="str">
        <f t="shared" si="2"/>
        <v>11101332</v>
      </c>
      <c r="DL53" s="78" t="s">
        <v>1981</v>
      </c>
      <c r="DM53" s="78" t="s">
        <v>1989</v>
      </c>
      <c r="DN53" s="438">
        <f>IF(AR33="",0,LEFT(AR33,1))</f>
        <v>0</v>
      </c>
      <c r="DO53" s="30"/>
      <c r="DP53" s="30"/>
      <c r="DQ53" s="367"/>
      <c r="DR53" s="367"/>
      <c r="DS53" s="367"/>
      <c r="DT53" s="367"/>
      <c r="DU53" s="367"/>
      <c r="DV53" s="23"/>
      <c r="DX53" s="85"/>
      <c r="DY53" s="85"/>
    </row>
    <row r="54" spans="1:129" ht="19.5" hidden="1" customHeight="1" thickBot="1">
      <c r="A54" s="354" t="s">
        <v>1234</v>
      </c>
      <c r="B54" s="181"/>
      <c r="C54" s="515"/>
      <c r="D54" s="516"/>
      <c r="E54" s="516"/>
      <c r="F54" s="516"/>
      <c r="G54" s="516"/>
      <c r="H54" s="516"/>
      <c r="I54" s="516"/>
      <c r="J54" s="378"/>
      <c r="K54" s="378"/>
      <c r="L54" s="385"/>
      <c r="M54" s="562"/>
      <c r="N54" s="374"/>
      <c r="O54" s="374"/>
      <c r="P54" s="374"/>
      <c r="Q54" s="374"/>
      <c r="R54" s="374"/>
      <c r="S54" s="374"/>
      <c r="T54" s="374"/>
      <c r="U54" s="375"/>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527"/>
      <c r="AU54" s="171"/>
      <c r="AV54" s="20"/>
      <c r="BZ54" s="369" t="s">
        <v>1329</v>
      </c>
      <c r="CA54" s="584" t="str">
        <f t="shared" si="0"/>
        <v>1607805</v>
      </c>
      <c r="CB54" s="82" t="s">
        <v>1379</v>
      </c>
      <c r="CD54" s="108"/>
      <c r="CE54" s="108"/>
      <c r="CF54" s="108"/>
      <c r="CG54" s="26"/>
      <c r="CH54" s="148" t="s">
        <v>417</v>
      </c>
      <c r="CI54" s="148" t="s">
        <v>63</v>
      </c>
      <c r="CJ54" s="148">
        <v>1</v>
      </c>
      <c r="CK54" s="148" t="s">
        <v>216</v>
      </c>
      <c r="CL54" s="148" t="s">
        <v>90</v>
      </c>
      <c r="CM54" s="148" t="s">
        <v>594</v>
      </c>
      <c r="CN54" s="148"/>
      <c r="CO54" s="149" t="s">
        <v>219</v>
      </c>
      <c r="CP54" s="150">
        <v>1</v>
      </c>
      <c r="CQ54" s="2"/>
      <c r="CR54" s="45"/>
      <c r="CS54" s="45"/>
      <c r="CT54" s="45"/>
      <c r="CU54" s="45"/>
      <c r="CV54" s="10"/>
      <c r="CW54" s="34" t="s">
        <v>178</v>
      </c>
      <c r="CX54" s="34"/>
      <c r="CY54" s="40" t="s">
        <v>736</v>
      </c>
      <c r="CZ54" s="41" t="s">
        <v>343</v>
      </c>
      <c r="DA54" s="40"/>
      <c r="DB54" s="34" t="str">
        <f t="shared" si="3"/>
        <v>101</v>
      </c>
      <c r="DC54" s="81" t="s">
        <v>179</v>
      </c>
      <c r="DD54" s="96"/>
      <c r="DE54" s="87"/>
      <c r="DF54" s="64"/>
      <c r="DG54" s="64"/>
      <c r="DH54" s="435" t="s">
        <v>2083</v>
      </c>
      <c r="DI54" s="436" t="s">
        <v>2084</v>
      </c>
      <c r="DJ54" s="436"/>
      <c r="DK54" s="75" t="str">
        <f t="shared" si="2"/>
        <v>10901314</v>
      </c>
      <c r="DL54" s="78" t="s">
        <v>1977</v>
      </c>
      <c r="DM54" s="78" t="s">
        <v>2085</v>
      </c>
      <c r="DN54" s="438" t="str">
        <f>ASC(AV26)</f>
        <v>01</v>
      </c>
      <c r="DO54" s="30"/>
      <c r="DP54" s="30"/>
      <c r="DQ54" s="367"/>
      <c r="DR54" s="367"/>
      <c r="DS54" s="367"/>
      <c r="DT54" s="367"/>
      <c r="DU54" s="367"/>
      <c r="DV54" s="23"/>
      <c r="DX54" s="85"/>
      <c r="DY54" s="85"/>
    </row>
    <row r="55" spans="1:129" ht="19.5" hidden="1" customHeight="1" thickTop="1" thickBot="1">
      <c r="A55" s="354"/>
      <c r="B55" s="181"/>
      <c r="C55" s="600"/>
      <c r="D55" s="600"/>
      <c r="E55" s="600"/>
      <c r="F55" s="600"/>
      <c r="G55" s="600"/>
      <c r="H55" s="600"/>
      <c r="I55" s="600"/>
      <c r="J55" s="497"/>
      <c r="K55" s="497"/>
      <c r="L55" s="601"/>
      <c r="M55" s="601"/>
      <c r="N55" s="602"/>
      <c r="O55" s="602"/>
      <c r="P55" s="602"/>
      <c r="Q55" s="602"/>
      <c r="R55" s="602"/>
      <c r="S55" s="602"/>
      <c r="T55" s="602"/>
      <c r="U55" s="603"/>
      <c r="V55" s="603"/>
      <c r="W55" s="603"/>
      <c r="X55" s="603"/>
      <c r="Y55" s="603"/>
      <c r="Z55" s="603"/>
      <c r="AA55" s="603"/>
      <c r="AB55" s="603"/>
      <c r="AC55" s="603"/>
      <c r="AD55" s="603"/>
      <c r="AE55" s="603"/>
      <c r="AF55" s="603"/>
      <c r="AG55" s="603"/>
      <c r="AH55" s="603"/>
      <c r="AI55" s="603"/>
      <c r="AJ55" s="603"/>
      <c r="AK55" s="603"/>
      <c r="AL55" s="603"/>
      <c r="AM55" s="603"/>
      <c r="AN55" s="603"/>
      <c r="AO55" s="603"/>
      <c r="AP55" s="603"/>
      <c r="AQ55" s="603"/>
      <c r="AR55" s="603"/>
      <c r="AS55" s="603"/>
      <c r="AT55" s="603"/>
      <c r="AU55" s="171"/>
      <c r="AV55" s="20"/>
      <c r="BZ55" s="369" t="s">
        <v>952</v>
      </c>
      <c r="CA55" s="586" t="str">
        <f t="shared" si="0"/>
        <v>1608562</v>
      </c>
      <c r="CB55" s="82" t="s">
        <v>958</v>
      </c>
      <c r="CD55" s="108"/>
      <c r="CE55" s="108"/>
      <c r="CF55" s="108"/>
      <c r="CG55" s="27"/>
      <c r="CH55" s="148" t="s">
        <v>418</v>
      </c>
      <c r="CI55" s="148" t="s">
        <v>63</v>
      </c>
      <c r="CJ55" s="148">
        <v>8</v>
      </c>
      <c r="CK55" s="148" t="s">
        <v>216</v>
      </c>
      <c r="CL55" s="148" t="s">
        <v>216</v>
      </c>
      <c r="CM55" s="148"/>
      <c r="CN55" s="148"/>
      <c r="CO55" s="149" t="s">
        <v>215</v>
      </c>
      <c r="CP55" s="150"/>
      <c r="CQ55" s="2"/>
      <c r="CR55" s="45"/>
      <c r="CS55" s="45"/>
      <c r="CT55" s="45"/>
      <c r="CU55" s="45"/>
      <c r="CV55" s="10"/>
      <c r="CW55" s="34" t="s">
        <v>174</v>
      </c>
      <c r="CX55" s="34"/>
      <c r="CY55" s="40" t="s">
        <v>736</v>
      </c>
      <c r="CZ55" s="41" t="s">
        <v>343</v>
      </c>
      <c r="DA55" s="40"/>
      <c r="DB55" s="34" t="str">
        <f t="shared" si="3"/>
        <v>101</v>
      </c>
      <c r="DC55" s="81" t="s">
        <v>175</v>
      </c>
      <c r="DD55" s="96"/>
      <c r="DE55" s="87"/>
      <c r="DF55" s="64"/>
      <c r="DG55" s="64"/>
      <c r="DH55" s="435" t="s">
        <v>2151</v>
      </c>
      <c r="DI55" s="436" t="s">
        <v>2170</v>
      </c>
      <c r="DJ55" s="625"/>
      <c r="DK55" s="75" t="str">
        <f t="shared" si="2"/>
        <v>93101PV2</v>
      </c>
      <c r="DL55" s="78" t="s">
        <v>2065</v>
      </c>
      <c r="DM55" s="78" t="s">
        <v>2179</v>
      </c>
      <c r="DN55" s="438" t="str">
        <f>T(記入シート1!I67)</f>
        <v/>
      </c>
      <c r="DO55" s="30"/>
      <c r="DP55" s="30"/>
      <c r="DQ55" s="367"/>
      <c r="DR55" s="367"/>
      <c r="DS55" s="367"/>
      <c r="DT55" s="367"/>
      <c r="DU55" s="367"/>
      <c r="DV55" s="25"/>
      <c r="DX55" s="85"/>
      <c r="DY55" s="85"/>
    </row>
    <row r="56" spans="1:129" ht="19.5" customHeight="1" thickBot="1">
      <c r="A56" s="354"/>
      <c r="B56" s="181"/>
      <c r="C56" s="771"/>
      <c r="D56" s="771"/>
      <c r="E56" s="771"/>
      <c r="F56" s="771"/>
      <c r="G56" s="771"/>
      <c r="H56" s="771"/>
      <c r="I56" s="771"/>
      <c r="J56" s="771"/>
      <c r="K56" s="771"/>
      <c r="L56" s="772"/>
      <c r="M56" s="732"/>
      <c r="N56" s="111"/>
      <c r="O56" s="111"/>
      <c r="P56" s="111"/>
      <c r="Q56" s="111"/>
      <c r="R56" s="111"/>
      <c r="S56" s="111"/>
      <c r="T56" s="111"/>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171"/>
      <c r="AV56" s="386"/>
      <c r="BZ56" s="369" t="s">
        <v>953</v>
      </c>
      <c r="CA56" s="586" t="str">
        <f t="shared" si="0"/>
        <v>1608563</v>
      </c>
      <c r="CB56" s="82" t="s">
        <v>959</v>
      </c>
      <c r="CD56" s="108"/>
      <c r="CE56" s="108"/>
      <c r="CF56" s="108"/>
      <c r="CG56" s="27"/>
      <c r="CH56" s="49" t="s">
        <v>419</v>
      </c>
      <c r="CI56" s="49" t="s">
        <v>21</v>
      </c>
      <c r="CJ56" s="49">
        <v>255</v>
      </c>
      <c r="CK56" s="49" t="s">
        <v>216</v>
      </c>
      <c r="CL56" s="49" t="s">
        <v>83</v>
      </c>
      <c r="CM56" s="49"/>
      <c r="CN56" s="49" t="s">
        <v>888</v>
      </c>
      <c r="CO56" s="50" t="s">
        <v>210</v>
      </c>
      <c r="CP56" s="51" t="str">
        <f>LEFT(SUBSTITUTE(記入シート1!I81,CHAR(10),"　"),255)</f>
        <v/>
      </c>
      <c r="CQ56" s="2"/>
      <c r="CR56" s="45"/>
      <c r="CS56" s="45"/>
      <c r="CT56" s="45"/>
      <c r="CU56" s="45"/>
      <c r="CV56" s="10"/>
      <c r="CW56" s="34" t="s">
        <v>170</v>
      </c>
      <c r="CX56" s="34"/>
      <c r="CY56" s="40" t="s">
        <v>736</v>
      </c>
      <c r="CZ56" s="41" t="s">
        <v>343</v>
      </c>
      <c r="DA56" s="40"/>
      <c r="DB56" s="34" t="str">
        <f t="shared" si="3"/>
        <v>101</v>
      </c>
      <c r="DC56" s="81" t="s">
        <v>171</v>
      </c>
      <c r="DD56" s="96"/>
      <c r="DE56" s="87"/>
      <c r="DF56" s="64"/>
      <c r="DG56" s="64"/>
      <c r="DH56" s="435" t="s">
        <v>2151</v>
      </c>
      <c r="DI56" s="436" t="s">
        <v>2171</v>
      </c>
      <c r="DJ56" s="436"/>
      <c r="DK56" s="75" t="str">
        <f t="shared" si="2"/>
        <v>93101PV3</v>
      </c>
      <c r="DL56" s="78" t="s">
        <v>2065</v>
      </c>
      <c r="DM56" s="78" t="s">
        <v>2180</v>
      </c>
      <c r="DN56" s="438" t="str">
        <f>"4"</f>
        <v>4</v>
      </c>
      <c r="DO56" s="30"/>
      <c r="DP56" s="30"/>
      <c r="DQ56" s="367"/>
      <c r="DR56" s="367"/>
      <c r="DS56" s="367"/>
      <c r="DT56" s="367"/>
      <c r="DU56" s="367"/>
      <c r="DV56" s="26"/>
      <c r="DX56" s="85"/>
      <c r="DY56" s="85"/>
    </row>
    <row r="57" spans="1:129" ht="19.5" customHeight="1" thickTop="1">
      <c r="A57" s="354"/>
      <c r="B57" s="181"/>
      <c r="C57" s="1228" t="s">
        <v>449</v>
      </c>
      <c r="D57" s="1229"/>
      <c r="E57" s="1229"/>
      <c r="F57" s="1229"/>
      <c r="G57" s="1229"/>
      <c r="H57" s="1229"/>
      <c r="I57" s="1230"/>
      <c r="J57" s="2190" t="s">
        <v>845</v>
      </c>
      <c r="K57" s="2191"/>
      <c r="L57" s="2193" t="s">
        <v>846</v>
      </c>
      <c r="M57" s="2194"/>
      <c r="N57" s="2195"/>
      <c r="O57" s="2199" t="s">
        <v>1059</v>
      </c>
      <c r="P57" s="2200"/>
      <c r="Q57" s="2199" t="s">
        <v>2053</v>
      </c>
      <c r="R57" s="2203"/>
      <c r="S57" s="2203"/>
      <c r="T57" s="2200"/>
      <c r="U57" s="2199" t="s">
        <v>2054</v>
      </c>
      <c r="V57" s="2203"/>
      <c r="W57" s="2203"/>
      <c r="X57" s="2200"/>
      <c r="Y57" s="2199" t="s">
        <v>2055</v>
      </c>
      <c r="Z57" s="2203"/>
      <c r="AA57" s="2203"/>
      <c r="AB57" s="2200"/>
      <c r="AC57" s="2199" t="s">
        <v>2056</v>
      </c>
      <c r="AD57" s="2203"/>
      <c r="AE57" s="2203"/>
      <c r="AF57" s="2200"/>
      <c r="AG57" s="2199" t="s">
        <v>2057</v>
      </c>
      <c r="AH57" s="2203"/>
      <c r="AI57" s="2203"/>
      <c r="AJ57" s="2200"/>
      <c r="AK57" s="2177" t="s">
        <v>2052</v>
      </c>
      <c r="AL57" s="2178"/>
      <c r="AM57" s="2178"/>
      <c r="AN57" s="2178"/>
      <c r="AO57" s="2178"/>
      <c r="AP57" s="2178"/>
      <c r="AQ57" s="2178"/>
      <c r="AR57" s="2178"/>
      <c r="AS57" s="2178"/>
      <c r="AT57" s="2179"/>
      <c r="AU57" s="171"/>
      <c r="AV57" s="386"/>
      <c r="BZ57" s="369" t="s">
        <v>954</v>
      </c>
      <c r="CA57" s="586" t="str">
        <f t="shared" si="0"/>
        <v>1608564</v>
      </c>
      <c r="CB57" s="82" t="s">
        <v>960</v>
      </c>
      <c r="CD57" s="108"/>
      <c r="CE57" s="108"/>
      <c r="CF57" s="108"/>
      <c r="CG57" s="27"/>
      <c r="CH57" s="49" t="s">
        <v>420</v>
      </c>
      <c r="CI57" s="49" t="s">
        <v>63</v>
      </c>
      <c r="CJ57" s="49">
        <v>2</v>
      </c>
      <c r="CK57" s="49" t="s">
        <v>216</v>
      </c>
      <c r="CL57" s="49" t="s">
        <v>90</v>
      </c>
      <c r="CM57" s="49" t="s">
        <v>595</v>
      </c>
      <c r="CN57" s="49"/>
      <c r="CO57" s="50" t="s">
        <v>213</v>
      </c>
      <c r="CP57" s="51" t="str">
        <f>LEFT(記入シート1!AL88,2)</f>
        <v>04</v>
      </c>
      <c r="CQ57" s="2"/>
      <c r="CR57" s="45"/>
      <c r="CS57" s="45"/>
      <c r="CT57" s="45"/>
      <c r="CU57" s="45"/>
      <c r="CV57" s="10"/>
      <c r="CW57" s="34" t="s">
        <v>167</v>
      </c>
      <c r="CX57" s="34" t="s">
        <v>710</v>
      </c>
      <c r="CY57" s="40" t="s">
        <v>742</v>
      </c>
      <c r="CZ57" s="41" t="s">
        <v>343</v>
      </c>
      <c r="DA57" s="40" t="s">
        <v>711</v>
      </c>
      <c r="DB57" s="34" t="str">
        <f t="shared" si="3"/>
        <v>101</v>
      </c>
      <c r="DC57" s="81" t="s">
        <v>168</v>
      </c>
      <c r="DD57" s="96"/>
      <c r="DE57" s="87"/>
      <c r="DF57" s="64"/>
      <c r="DG57" s="64"/>
      <c r="DH57" s="435" t="s">
        <v>2151</v>
      </c>
      <c r="DI57" s="436" t="s">
        <v>3242</v>
      </c>
      <c r="DJ57" s="436" t="s">
        <v>3262</v>
      </c>
      <c r="DK57" s="75" t="str">
        <f t="shared" si="2"/>
        <v>93101PV4</v>
      </c>
      <c r="DL57" s="78" t="s">
        <v>2065</v>
      </c>
      <c r="DM57" s="78" t="s">
        <v>3252</v>
      </c>
      <c r="DN57" s="438">
        <f>AV115*1</f>
        <v>1</v>
      </c>
      <c r="DO57" s="30"/>
      <c r="DP57" s="30"/>
      <c r="DQ57" s="367"/>
      <c r="DR57" s="367"/>
      <c r="DS57" s="367"/>
      <c r="DT57" s="367"/>
      <c r="DU57" s="367"/>
      <c r="DV57" s="26"/>
      <c r="DX57" s="85"/>
      <c r="DY57" s="85"/>
    </row>
    <row r="58" spans="1:129" ht="19.5" customHeight="1">
      <c r="A58" s="354"/>
      <c r="B58" s="181"/>
      <c r="C58" s="1242"/>
      <c r="D58" s="1243"/>
      <c r="E58" s="1243"/>
      <c r="F58" s="1243"/>
      <c r="G58" s="1243"/>
      <c r="H58" s="1243"/>
      <c r="I58" s="1244"/>
      <c r="J58" s="1281"/>
      <c r="K58" s="2192"/>
      <c r="L58" s="2196"/>
      <c r="M58" s="2197"/>
      <c r="N58" s="2198"/>
      <c r="O58" s="2201"/>
      <c r="P58" s="2202"/>
      <c r="Q58" s="2201"/>
      <c r="R58" s="2204"/>
      <c r="S58" s="2204"/>
      <c r="T58" s="2202"/>
      <c r="U58" s="2201"/>
      <c r="V58" s="2204"/>
      <c r="W58" s="2204"/>
      <c r="X58" s="2202"/>
      <c r="Y58" s="2201"/>
      <c r="Z58" s="2204"/>
      <c r="AA58" s="2204"/>
      <c r="AB58" s="2202"/>
      <c r="AC58" s="2201"/>
      <c r="AD58" s="2204"/>
      <c r="AE58" s="2204"/>
      <c r="AF58" s="2202"/>
      <c r="AG58" s="2201"/>
      <c r="AH58" s="2204"/>
      <c r="AI58" s="2204"/>
      <c r="AJ58" s="2202"/>
      <c r="AK58" s="2180"/>
      <c r="AL58" s="2181"/>
      <c r="AM58" s="2181"/>
      <c r="AN58" s="2181"/>
      <c r="AO58" s="2181"/>
      <c r="AP58" s="2181"/>
      <c r="AQ58" s="2181"/>
      <c r="AR58" s="2181"/>
      <c r="AS58" s="2181"/>
      <c r="AT58" s="2182"/>
      <c r="AU58" s="171"/>
      <c r="AV58" s="386"/>
      <c r="BZ58" s="369" t="s">
        <v>955</v>
      </c>
      <c r="CA58" s="586" t="str">
        <f t="shared" si="0"/>
        <v>1608565</v>
      </c>
      <c r="CB58" s="82" t="s">
        <v>961</v>
      </c>
      <c r="CD58" s="108"/>
      <c r="CE58" s="108"/>
      <c r="CF58" s="108"/>
      <c r="CG58" s="27"/>
      <c r="CH58" s="49" t="s">
        <v>421</v>
      </c>
      <c r="CI58" s="49" t="s">
        <v>21</v>
      </c>
      <c r="CJ58" s="49">
        <v>255</v>
      </c>
      <c r="CK58" s="49" t="s">
        <v>216</v>
      </c>
      <c r="CL58" s="49" t="s">
        <v>83</v>
      </c>
      <c r="CM58" s="49"/>
      <c r="CN58" s="489"/>
      <c r="CO58" s="50" t="s">
        <v>207</v>
      </c>
      <c r="CP58" s="51" t="str">
        <f>LEFT(SUBSTITUTE(記入シート1!I85,CHAR(10),"　"),255)</f>
        <v/>
      </c>
      <c r="CQ58" s="2"/>
      <c r="CR58" s="45"/>
      <c r="CS58" s="45"/>
      <c r="CT58" s="45"/>
      <c r="CU58" s="45"/>
      <c r="CV58" s="10"/>
      <c r="CW58" s="34" t="s">
        <v>88</v>
      </c>
      <c r="CX58" s="34" t="s">
        <v>629</v>
      </c>
      <c r="CY58" s="40" t="s">
        <v>743</v>
      </c>
      <c r="CZ58" s="41" t="s">
        <v>349</v>
      </c>
      <c r="DA58" s="40"/>
      <c r="DB58" s="34" t="str">
        <f>LEFT(DC56,3)</f>
        <v>101</v>
      </c>
      <c r="DC58" s="81" t="s">
        <v>165</v>
      </c>
      <c r="DD58" s="96"/>
      <c r="DE58" s="87"/>
      <c r="DF58" s="64"/>
      <c r="DG58" s="64"/>
      <c r="DH58" s="435" t="s">
        <v>2151</v>
      </c>
      <c r="DI58" s="436" t="s">
        <v>3243</v>
      </c>
      <c r="DJ58" s="436" t="s">
        <v>3262</v>
      </c>
      <c r="DK58" s="75" t="str">
        <f t="shared" si="2"/>
        <v>93101PV5</v>
      </c>
      <c r="DL58" s="78" t="s">
        <v>2065</v>
      </c>
      <c r="DM58" s="78" t="s">
        <v>3253</v>
      </c>
      <c r="DN58" s="438">
        <f>AV116*1</f>
        <v>1</v>
      </c>
      <c r="DO58" s="30"/>
      <c r="DP58" s="30"/>
      <c r="DQ58" s="367"/>
      <c r="DR58" s="367"/>
      <c r="DS58" s="367"/>
      <c r="DT58" s="367"/>
      <c r="DU58" s="367"/>
      <c r="DV58" s="27"/>
      <c r="DX58" s="85"/>
      <c r="DY58" s="85"/>
    </row>
    <row r="59" spans="1:129" ht="19.5" customHeight="1">
      <c r="A59" s="354"/>
      <c r="B59" s="181"/>
      <c r="C59" s="2183" t="s">
        <v>2245</v>
      </c>
      <c r="D59" s="2184"/>
      <c r="E59" s="2184"/>
      <c r="F59" s="2184"/>
      <c r="G59" s="2184"/>
      <c r="H59" s="2184"/>
      <c r="I59" s="2184"/>
      <c r="J59" s="378"/>
      <c r="K59" s="378"/>
      <c r="L59" s="385"/>
      <c r="M59" s="562"/>
      <c r="N59" s="374"/>
      <c r="O59" s="374"/>
      <c r="P59" s="374"/>
      <c r="Q59" s="374"/>
      <c r="R59" s="374"/>
      <c r="S59" s="374"/>
      <c r="T59" s="374"/>
      <c r="U59" s="375"/>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527"/>
      <c r="AU59" s="171"/>
      <c r="AV59" s="531" t="b">
        <f>IF(OR(AV60=TRUE,AV64=TRUE,AV65=TRUE,AV67=TRUE,AV68=TRUE,AV69=TRUE,AV70=TRUE),TRUE,FALSE)</f>
        <v>1</v>
      </c>
      <c r="AW59" s="499" t="s">
        <v>2069</v>
      </c>
      <c r="AY59" s="253" t="s">
        <v>7</v>
      </c>
      <c r="AZ59" s="253" t="s">
        <v>454</v>
      </c>
      <c r="BA59" s="10" t="s">
        <v>908</v>
      </c>
      <c r="BB59" s="10" t="s">
        <v>0</v>
      </c>
      <c r="BC59" s="10" t="s">
        <v>455</v>
      </c>
      <c r="BD59" s="10" t="s">
        <v>975</v>
      </c>
      <c r="BE59" s="10"/>
      <c r="BF59" s="10"/>
      <c r="BG59" s="10"/>
      <c r="BH59" s="10"/>
      <c r="BI59" s="10" t="s">
        <v>456</v>
      </c>
      <c r="BJ59" s="10" t="s">
        <v>457</v>
      </c>
      <c r="BK59" s="10" t="s">
        <v>458</v>
      </c>
      <c r="BL59" s="10" t="s">
        <v>973</v>
      </c>
      <c r="BM59" s="10" t="s">
        <v>974</v>
      </c>
      <c r="BN59" s="10" t="s">
        <v>459</v>
      </c>
      <c r="BO59" s="10" t="s">
        <v>460</v>
      </c>
      <c r="BP59" s="10" t="s">
        <v>461</v>
      </c>
      <c r="BQ59" s="10"/>
      <c r="BR59" s="10" t="s">
        <v>7</v>
      </c>
      <c r="BZ59" s="369" t="s">
        <v>956</v>
      </c>
      <c r="CA59" s="586" t="str">
        <f t="shared" si="0"/>
        <v>1608566</v>
      </c>
      <c r="CB59" s="82" t="s">
        <v>962</v>
      </c>
      <c r="CD59" s="108"/>
      <c r="CE59" s="108"/>
      <c r="CF59" s="108"/>
      <c r="CG59" s="27"/>
      <c r="CH59" s="213" t="s">
        <v>890</v>
      </c>
      <c r="CI59" s="49" t="s">
        <v>19</v>
      </c>
      <c r="CJ59" s="213">
        <v>13</v>
      </c>
      <c r="CK59" s="49" t="s">
        <v>216</v>
      </c>
      <c r="CL59" s="49" t="s">
        <v>20</v>
      </c>
      <c r="CM59" s="213"/>
      <c r="CN59" s="214"/>
      <c r="CO59" s="60" t="s">
        <v>889</v>
      </c>
      <c r="CP59" s="61" t="str">
        <f>ASC(記入シート1!I89)</f>
        <v/>
      </c>
      <c r="CQ59" s="2"/>
      <c r="CR59" s="45"/>
      <c r="CS59" s="45"/>
      <c r="CT59" s="45"/>
      <c r="CU59" s="45"/>
      <c r="CV59" s="10"/>
      <c r="CW59" s="34" t="s">
        <v>162</v>
      </c>
      <c r="CX59" s="34"/>
      <c r="CY59" s="95"/>
      <c r="CZ59" s="95" t="s">
        <v>359</v>
      </c>
      <c r="DA59" s="95"/>
      <c r="DB59" s="34" t="str">
        <f t="shared" si="3"/>
        <v>101</v>
      </c>
      <c r="DC59" s="81" t="s">
        <v>163</v>
      </c>
      <c r="DD59" s="96"/>
      <c r="DE59" s="87"/>
      <c r="DF59" s="64"/>
      <c r="DG59" s="64"/>
      <c r="DH59" s="435" t="s">
        <v>2151</v>
      </c>
      <c r="DI59" s="436" t="s">
        <v>3244</v>
      </c>
      <c r="DJ59" s="436"/>
      <c r="DK59" s="75" t="str">
        <f t="shared" si="2"/>
        <v>93101PV6</v>
      </c>
      <c r="DL59" s="78" t="s">
        <v>2065</v>
      </c>
      <c r="DM59" s="78" t="s">
        <v>3254</v>
      </c>
      <c r="DN59" s="438" t="str">
        <f>IF(AV115=TRUE,ASC(Q112),0)</f>
        <v/>
      </c>
      <c r="DO59" s="30"/>
      <c r="DP59" s="30"/>
      <c r="DQ59" s="367"/>
      <c r="DR59" s="367"/>
      <c r="DS59" s="367"/>
      <c r="DT59" s="367"/>
      <c r="DU59" s="367"/>
      <c r="DV59" s="27"/>
      <c r="DX59" s="85"/>
      <c r="DY59" s="85"/>
    </row>
    <row r="60" spans="1:129" ht="19.5" customHeight="1" thickBot="1">
      <c r="A60" s="354"/>
      <c r="B60" s="181"/>
      <c r="C60" s="2163" t="s">
        <v>2070</v>
      </c>
      <c r="D60" s="2164"/>
      <c r="E60" s="2164"/>
      <c r="F60" s="2164"/>
      <c r="G60" s="2164"/>
      <c r="H60" s="2164"/>
      <c r="I60" s="2165"/>
      <c r="J60" s="378"/>
      <c r="K60" s="378"/>
      <c r="L60" s="2185" t="s">
        <v>2243</v>
      </c>
      <c r="M60" s="2186"/>
      <c r="N60" s="2187"/>
      <c r="O60" s="2188" t="s">
        <v>1071</v>
      </c>
      <c r="P60" s="2188"/>
      <c r="Q60" s="2189">
        <v>0</v>
      </c>
      <c r="R60" s="2189"/>
      <c r="S60" s="2189"/>
      <c r="T60" s="2189"/>
      <c r="U60" s="2149">
        <v>0</v>
      </c>
      <c r="V60" s="2149"/>
      <c r="W60" s="2149"/>
      <c r="X60" s="2149"/>
      <c r="Y60" s="2148">
        <v>0</v>
      </c>
      <c r="Z60" s="2148"/>
      <c r="AA60" s="2148"/>
      <c r="AB60" s="2148"/>
      <c r="AC60" s="2148">
        <v>0</v>
      </c>
      <c r="AD60" s="2148"/>
      <c r="AE60" s="2148"/>
      <c r="AF60" s="2148"/>
      <c r="AG60" s="2149">
        <v>0</v>
      </c>
      <c r="AH60" s="2149"/>
      <c r="AI60" s="2149"/>
      <c r="AJ60" s="2149"/>
      <c r="AK60" s="695"/>
      <c r="AL60" s="696"/>
      <c r="AM60" s="696"/>
      <c r="AN60" s="697"/>
      <c r="AO60" s="697"/>
      <c r="AP60" s="697"/>
      <c r="AQ60" s="697"/>
      <c r="AR60" s="698" t="s">
        <v>3355</v>
      </c>
      <c r="AS60" s="2150" t="s">
        <v>3356</v>
      </c>
      <c r="AT60" s="2151"/>
      <c r="AU60" s="171"/>
      <c r="AV60" s="386" t="b">
        <v>1</v>
      </c>
      <c r="AW60" s="387">
        <f>IF(AV60=TRUE,AV60*1,0)</f>
        <v>1</v>
      </c>
      <c r="AX60" s="387" t="s">
        <v>2070</v>
      </c>
      <c r="AY60" s="387" t="str">
        <f>TEXT(BR60,"000")</f>
        <v>936</v>
      </c>
      <c r="AZ60" s="387">
        <f>AW60</f>
        <v>1</v>
      </c>
      <c r="BA60" s="83" t="str">
        <f>IF(O60="2回入金","92",IF(O60="早期2回","R2",IF(O60="早期3回","R3",IF(O60="早期4回","R4",IF(O60="早期6回","R6","")))))</f>
        <v>92</v>
      </c>
      <c r="BB60" s="50" t="s">
        <v>995</v>
      </c>
      <c r="BC60" s="83" t="s">
        <v>2067</v>
      </c>
      <c r="BD60" s="83">
        <f>ROW(C60)</f>
        <v>60</v>
      </c>
      <c r="BE60" s="83">
        <f>IF(AY60&amp;BC60=AY59&amp;BC59,BE59+1,1)</f>
        <v>1</v>
      </c>
      <c r="BF60" s="83" t="str">
        <f>AY60&amp;BC60&amp;BE60</f>
        <v>936000001</v>
      </c>
      <c r="BG60" s="83"/>
      <c r="BH60" s="83"/>
      <c r="BI60" s="83" t="str">
        <f>BR60&amp;"01"</f>
        <v>93601</v>
      </c>
      <c r="BJ60" s="83">
        <f>IF(L60=$BC$2,1,0)</f>
        <v>1</v>
      </c>
      <c r="BK60" s="83">
        <f>AZ60</f>
        <v>1</v>
      </c>
      <c r="BL60" s="628">
        <f ca="1">IF($AW60=0,"",INDIRECT(ADDRESS($BD60,BL$16)))</f>
        <v>0</v>
      </c>
      <c r="BM60" s="628">
        <f ca="1">IF($AW60=0,"",INDIRECT(ADDRESS($BD60,BM$16)))</f>
        <v>0</v>
      </c>
      <c r="BN60" s="391">
        <f ca="1">IF($AW60=0,"",INDIRECT(ADDRESS($BD60,BN$16)))</f>
        <v>0</v>
      </c>
      <c r="BO60" s="391">
        <f ca="1">IF($AW60=0,"",INDIRECT(ADDRESS($BD60,BO$16)))</f>
        <v>0</v>
      </c>
      <c r="BP60" s="388">
        <f ca="1">IF($AW60=0,"",INDIRECT(ADDRESS($BD60,BP$16)))</f>
        <v>0</v>
      </c>
      <c r="BQ60" s="83"/>
      <c r="BR60" s="83">
        <v>936</v>
      </c>
      <c r="BZ60" s="369" t="s">
        <v>957</v>
      </c>
      <c r="CA60" s="586" t="str">
        <f t="shared" si="0"/>
        <v>1608567</v>
      </c>
      <c r="CB60" s="82" t="s">
        <v>963</v>
      </c>
      <c r="CD60" s="108"/>
      <c r="CE60" s="108"/>
      <c r="CF60" s="108"/>
      <c r="CG60" s="27"/>
      <c r="CH60" s="49" t="s">
        <v>423</v>
      </c>
      <c r="CI60" s="49" t="s">
        <v>19</v>
      </c>
      <c r="CJ60" s="49">
        <v>9</v>
      </c>
      <c r="CK60" s="49" t="s">
        <v>216</v>
      </c>
      <c r="CL60" s="49" t="s">
        <v>83</v>
      </c>
      <c r="CM60" s="49"/>
      <c r="CN60" s="49"/>
      <c r="CO60" s="60" t="s">
        <v>203</v>
      </c>
      <c r="CP60" s="61" t="str">
        <f>ASC(記入シート1!Z89)</f>
        <v/>
      </c>
      <c r="CQ60" s="2"/>
      <c r="CR60" s="45"/>
      <c r="CS60" s="45"/>
      <c r="CT60" s="45"/>
      <c r="CU60" s="45"/>
      <c r="CV60" s="10"/>
      <c r="CW60" s="34" t="s">
        <v>699</v>
      </c>
      <c r="CX60" s="34"/>
      <c r="CY60" s="95"/>
      <c r="CZ60" s="95"/>
      <c r="DA60" s="95"/>
      <c r="DB60" s="34" t="str">
        <f t="shared" si="3"/>
        <v>101</v>
      </c>
      <c r="DC60" s="81" t="s">
        <v>702</v>
      </c>
      <c r="DD60" s="96"/>
      <c r="DE60" s="87"/>
      <c r="DF60" s="64"/>
      <c r="DG60" s="64"/>
      <c r="DH60" s="435" t="s">
        <v>2151</v>
      </c>
      <c r="DI60" s="436" t="s">
        <v>3245</v>
      </c>
      <c r="DJ60" s="436"/>
      <c r="DK60" s="75" t="str">
        <f t="shared" si="2"/>
        <v>93101PV7</v>
      </c>
      <c r="DL60" s="78" t="s">
        <v>2065</v>
      </c>
      <c r="DM60" s="78" t="s">
        <v>3255</v>
      </c>
      <c r="DN60" s="688" t="str">
        <f>""</f>
        <v/>
      </c>
      <c r="DO60" s="30"/>
      <c r="DP60" s="30"/>
      <c r="DQ60" s="367"/>
      <c r="DR60" s="367"/>
      <c r="DS60" s="367"/>
      <c r="DT60" s="367"/>
      <c r="DU60" s="367"/>
      <c r="DV60" s="27"/>
      <c r="DX60" s="85"/>
      <c r="DY60" s="85"/>
    </row>
    <row r="61" spans="1:129" ht="19.5" customHeight="1" thickTop="1">
      <c r="A61" s="354"/>
      <c r="B61" s="181"/>
      <c r="C61" s="2058"/>
      <c r="D61" s="2059"/>
      <c r="E61" s="2059"/>
      <c r="F61" s="2059"/>
      <c r="G61" s="2059"/>
      <c r="H61" s="2059"/>
      <c r="I61" s="2060"/>
      <c r="J61" s="2152" t="s">
        <v>4864</v>
      </c>
      <c r="K61" s="2153"/>
      <c r="L61" s="2153"/>
      <c r="M61" s="2153"/>
      <c r="N61" s="2154"/>
      <c r="O61" s="2155" t="s">
        <v>2072</v>
      </c>
      <c r="P61" s="2156"/>
      <c r="Q61" s="2157" t="s">
        <v>2265</v>
      </c>
      <c r="R61" s="2158"/>
      <c r="S61" s="2158"/>
      <c r="T61" s="2158"/>
      <c r="U61" s="2158"/>
      <c r="V61" s="2158"/>
      <c r="W61" s="2158"/>
      <c r="X61" s="2159"/>
      <c r="Y61" s="2160" t="s">
        <v>2074</v>
      </c>
      <c r="Z61" s="2160"/>
      <c r="AA61" s="2161" t="s">
        <v>2350</v>
      </c>
      <c r="AB61" s="2162"/>
      <c r="AC61" s="2162"/>
      <c r="AD61" s="2162"/>
      <c r="AE61" s="2162"/>
      <c r="AF61" s="2162"/>
      <c r="AG61" s="2162"/>
      <c r="AH61" s="2162"/>
      <c r="AI61" s="2162"/>
      <c r="AJ61" s="2162"/>
      <c r="AK61" s="2162"/>
      <c r="AL61" s="2162"/>
      <c r="AM61" s="2162"/>
      <c r="AN61" s="2162"/>
      <c r="AO61" s="2162"/>
      <c r="AP61" s="2162"/>
      <c r="AQ61" s="2162"/>
      <c r="AR61" s="2162"/>
      <c r="AS61" s="2162"/>
      <c r="AT61" s="250"/>
      <c r="AU61" s="171"/>
      <c r="AV61" s="386" t="str">
        <f>LEFT(Q61,4)</f>
        <v>1000</v>
      </c>
      <c r="AW61" s="536" t="str">
        <f>MID(Q61,6,LEN(Q61)-5)</f>
        <v>小売</v>
      </c>
      <c r="AY61" s="699" t="str">
        <f>IF(AS60="","0",LEFT(AS60,1))</f>
        <v>0</v>
      </c>
      <c r="BT61" s="4"/>
      <c r="BU61" s="4"/>
      <c r="BV61" s="4"/>
      <c r="BZ61" s="369" t="s">
        <v>1330</v>
      </c>
      <c r="CA61" s="586" t="str">
        <f t="shared" si="0"/>
        <v>1608568</v>
      </c>
      <c r="CB61" s="82" t="s">
        <v>964</v>
      </c>
      <c r="CD61" s="108"/>
      <c r="CE61" s="108"/>
      <c r="CF61" s="108"/>
      <c r="CG61" s="27"/>
      <c r="CH61" s="49" t="s">
        <v>425</v>
      </c>
      <c r="CI61" s="49" t="s">
        <v>19</v>
      </c>
      <c r="CJ61" s="49">
        <v>9</v>
      </c>
      <c r="CK61" s="49" t="s">
        <v>216</v>
      </c>
      <c r="CL61" s="49" t="s">
        <v>83</v>
      </c>
      <c r="CM61" s="49"/>
      <c r="CN61" s="49"/>
      <c r="CO61" s="60" t="s">
        <v>200</v>
      </c>
      <c r="CP61" s="61" t="str">
        <f>ASC(記入シート1!AG89)</f>
        <v/>
      </c>
      <c r="CQ61" s="2"/>
      <c r="CR61" s="45"/>
      <c r="CS61" s="45"/>
      <c r="CT61" s="45"/>
      <c r="CU61" s="45"/>
      <c r="CV61" s="10"/>
      <c r="CW61" s="34" t="s">
        <v>700</v>
      </c>
      <c r="CX61" s="34"/>
      <c r="CY61" s="95"/>
      <c r="CZ61" s="95"/>
      <c r="DA61" s="95"/>
      <c r="DB61" s="34" t="str">
        <f t="shared" si="3"/>
        <v>101</v>
      </c>
      <c r="DC61" s="81" t="s">
        <v>703</v>
      </c>
      <c r="DD61" s="96"/>
      <c r="DE61" s="87"/>
      <c r="DF61" s="64"/>
      <c r="DG61" s="64"/>
      <c r="DH61" s="435" t="s">
        <v>2151</v>
      </c>
      <c r="DI61" s="436" t="s">
        <v>3246</v>
      </c>
      <c r="DJ61" s="436"/>
      <c r="DK61" s="75" t="str">
        <f t="shared" si="2"/>
        <v>93101PV8</v>
      </c>
      <c r="DL61" s="78" t="s">
        <v>2065</v>
      </c>
      <c r="DM61" s="78" t="s">
        <v>3256</v>
      </c>
      <c r="DN61" s="688" t="str">
        <f>""</f>
        <v/>
      </c>
      <c r="DO61" s="30"/>
      <c r="DP61" s="30"/>
      <c r="DQ61" s="367"/>
      <c r="DR61" s="367"/>
      <c r="DS61" s="367"/>
      <c r="DT61" s="367"/>
      <c r="DU61" s="367"/>
      <c r="DV61" s="27"/>
      <c r="DX61" s="85"/>
      <c r="DY61" s="85"/>
    </row>
    <row r="62" spans="1:129" ht="19.5" customHeight="1" thickBot="1">
      <c r="A62" s="354"/>
      <c r="B62" s="181"/>
      <c r="C62" s="2061"/>
      <c r="D62" s="2062"/>
      <c r="E62" s="2062"/>
      <c r="F62" s="2062"/>
      <c r="G62" s="2062"/>
      <c r="H62" s="2062"/>
      <c r="I62" s="2063"/>
      <c r="J62" s="2166" t="s">
        <v>4858</v>
      </c>
      <c r="K62" s="2167"/>
      <c r="L62" s="2167"/>
      <c r="M62" s="2167"/>
      <c r="N62" s="2168"/>
      <c r="O62" s="537"/>
      <c r="P62" s="2169" t="s">
        <v>3770</v>
      </c>
      <c r="Q62" s="2169"/>
      <c r="R62" s="2169"/>
      <c r="S62" s="2169"/>
      <c r="T62" s="376"/>
      <c r="U62" s="2170" t="s">
        <v>2075</v>
      </c>
      <c r="V62" s="2170"/>
      <c r="W62" s="2170"/>
      <c r="X62" s="2171"/>
      <c r="Y62" s="911"/>
      <c r="Z62" s="912"/>
      <c r="AA62" s="912"/>
      <c r="AB62" s="912"/>
      <c r="AC62" s="912"/>
      <c r="AD62" s="912"/>
      <c r="AE62" s="912"/>
      <c r="AF62" s="912"/>
      <c r="AG62" s="912"/>
      <c r="AH62" s="912"/>
      <c r="AI62" s="912"/>
      <c r="AJ62" s="912"/>
      <c r="AK62" s="912"/>
      <c r="AL62" s="912"/>
      <c r="AM62" s="912"/>
      <c r="AN62" s="912"/>
      <c r="AO62" s="912"/>
      <c r="AP62" s="912"/>
      <c r="AQ62" s="912"/>
      <c r="AR62" s="912"/>
      <c r="AS62" s="912"/>
      <c r="AT62" s="913"/>
      <c r="AU62" s="171"/>
      <c r="AV62" s="386" t="str">
        <f>LEFT(AA61,4)</f>
        <v>1009</v>
      </c>
      <c r="AW62" s="20" t="str">
        <f>MID(AA61,6,LEN(AA61)-5)</f>
        <v>電気店・家電量販店（古物の取扱いなし）</v>
      </c>
      <c r="BT62" s="4"/>
      <c r="BU62" s="4"/>
      <c r="BV62" s="4"/>
      <c r="BZ62" s="369" t="s">
        <v>966</v>
      </c>
      <c r="CA62" s="586" t="str">
        <f t="shared" si="0"/>
        <v>9999992</v>
      </c>
      <c r="CB62" s="82" t="s">
        <v>967</v>
      </c>
      <c r="CC62" s="4"/>
      <c r="CD62" s="108"/>
      <c r="CE62" s="108"/>
      <c r="CF62" s="108"/>
      <c r="CG62" s="27"/>
      <c r="CH62" s="49" t="s">
        <v>426</v>
      </c>
      <c r="CI62" s="49" t="s">
        <v>19</v>
      </c>
      <c r="CJ62" s="49">
        <v>9</v>
      </c>
      <c r="CK62" s="49" t="s">
        <v>216</v>
      </c>
      <c r="CL62" s="49" t="s">
        <v>83</v>
      </c>
      <c r="CM62" s="49"/>
      <c r="CN62" s="49"/>
      <c r="CO62" s="60" t="s">
        <v>427</v>
      </c>
      <c r="CP62" s="61" t="str">
        <f>ASC(記入シート1!AP89)</f>
        <v/>
      </c>
      <c r="CQ62" s="2"/>
      <c r="CR62" s="45"/>
      <c r="CS62" s="45"/>
      <c r="CT62" s="45"/>
      <c r="CU62" s="45"/>
      <c r="CV62" s="10"/>
      <c r="CW62" s="34" t="s">
        <v>701</v>
      </c>
      <c r="CX62" s="34"/>
      <c r="CY62" s="95"/>
      <c r="CZ62" s="95"/>
      <c r="DA62" s="95"/>
      <c r="DB62" s="34" t="str">
        <f t="shared" si="3"/>
        <v>101</v>
      </c>
      <c r="DC62" s="81" t="s">
        <v>704</v>
      </c>
      <c r="DD62" s="96"/>
      <c r="DE62" s="87"/>
      <c r="DF62" s="64"/>
      <c r="DG62" s="64"/>
      <c r="DH62" s="435" t="s">
        <v>2151</v>
      </c>
      <c r="DI62" s="436" t="s">
        <v>3247</v>
      </c>
      <c r="DJ62" s="436"/>
      <c r="DK62" s="75" t="str">
        <f t="shared" si="2"/>
        <v>93101PV9</v>
      </c>
      <c r="DL62" s="78" t="s">
        <v>2065</v>
      </c>
      <c r="DM62" s="78" t="s">
        <v>3257</v>
      </c>
      <c r="DN62" s="688" t="str">
        <f>""</f>
        <v/>
      </c>
      <c r="DO62" s="30"/>
      <c r="DP62" s="30"/>
      <c r="DQ62" s="367"/>
      <c r="DR62" s="367"/>
      <c r="DS62" s="367"/>
      <c r="DT62" s="367"/>
      <c r="DU62" s="367"/>
      <c r="DV62" s="27"/>
      <c r="DX62" s="85"/>
      <c r="DY62" s="85"/>
    </row>
    <row r="63" spans="1:129" ht="19.5" customHeight="1" thickTop="1" thickBot="1">
      <c r="A63" s="354"/>
      <c r="B63" s="181"/>
      <c r="C63" s="2126" t="s">
        <v>2244</v>
      </c>
      <c r="D63" s="2127"/>
      <c r="E63" s="2127"/>
      <c r="F63" s="2127"/>
      <c r="G63" s="2127"/>
      <c r="H63" s="2127"/>
      <c r="I63" s="2128"/>
      <c r="J63" s="856"/>
      <c r="K63" s="857"/>
      <c r="L63" s="2132" t="s">
        <v>642</v>
      </c>
      <c r="M63" s="2133"/>
      <c r="N63" s="2134"/>
      <c r="O63" s="2135" t="s">
        <v>1071</v>
      </c>
      <c r="P63" s="2135"/>
      <c r="Q63" s="2136">
        <v>0</v>
      </c>
      <c r="R63" s="2137"/>
      <c r="S63" s="2137"/>
      <c r="T63" s="2138"/>
      <c r="U63" s="2136">
        <v>0</v>
      </c>
      <c r="V63" s="2137"/>
      <c r="W63" s="2137"/>
      <c r="X63" s="2138"/>
      <c r="Y63" s="2139">
        <v>0</v>
      </c>
      <c r="Z63" s="2139"/>
      <c r="AA63" s="2139"/>
      <c r="AB63" s="2139"/>
      <c r="AC63" s="2140">
        <v>0</v>
      </c>
      <c r="AD63" s="2141"/>
      <c r="AE63" s="2141"/>
      <c r="AF63" s="2142"/>
      <c r="AG63" s="2136">
        <v>0</v>
      </c>
      <c r="AH63" s="2137"/>
      <c r="AI63" s="2137"/>
      <c r="AJ63" s="2138"/>
      <c r="AK63" s="2172"/>
      <c r="AL63" s="2173"/>
      <c r="AM63" s="2173"/>
      <c r="AN63" s="2173"/>
      <c r="AO63" s="2173"/>
      <c r="AP63" s="2173"/>
      <c r="AQ63" s="2173"/>
      <c r="AR63" s="2173"/>
      <c r="AS63" s="2173"/>
      <c r="AT63" s="2174"/>
      <c r="AU63" s="171"/>
      <c r="AV63" s="386">
        <v>1</v>
      </c>
      <c r="AW63" s="538" t="str">
        <f>IF(AV60=TRUE,IF(AND(AV63&lt;&gt;0,AV61&lt;&gt;"0000",AV62&lt;&gt;"0000",LEFT(AV61,2)=LEFT(AV62,2)),"OK","NG"),"OK")</f>
        <v>OK</v>
      </c>
      <c r="AX63" s="499" t="s">
        <v>2076</v>
      </c>
      <c r="BT63" s="4"/>
      <c r="BU63" s="4"/>
      <c r="BV63" s="4"/>
      <c r="BW63" s="4"/>
      <c r="BZ63" s="369" t="s">
        <v>1331</v>
      </c>
      <c r="CA63" s="586" t="str">
        <f>TEXT(BZ63,"0000000")</f>
        <v>9999999</v>
      </c>
      <c r="CB63" s="82" t="s">
        <v>969</v>
      </c>
      <c r="CC63" s="4"/>
      <c r="CD63" s="108"/>
      <c r="CE63" s="108"/>
      <c r="CF63" s="108"/>
      <c r="CG63" s="27"/>
      <c r="CH63" s="49" t="s">
        <v>428</v>
      </c>
      <c r="CI63" s="49" t="s">
        <v>63</v>
      </c>
      <c r="CJ63" s="49">
        <v>1</v>
      </c>
      <c r="CK63" s="49" t="s">
        <v>216</v>
      </c>
      <c r="CL63" s="49" t="s">
        <v>83</v>
      </c>
      <c r="CM63" s="49" t="s">
        <v>429</v>
      </c>
      <c r="CN63" s="49" t="s">
        <v>596</v>
      </c>
      <c r="CO63" s="50" t="s">
        <v>430</v>
      </c>
      <c r="CP63" s="51">
        <f>IF(CP62&lt;1000,2,1)</f>
        <v>1</v>
      </c>
      <c r="CQ63" s="2"/>
      <c r="CR63" s="45"/>
      <c r="CS63" s="45"/>
      <c r="CT63" s="45"/>
      <c r="CU63" s="45"/>
      <c r="CV63" s="10"/>
      <c r="CW63" s="34" t="s">
        <v>728</v>
      </c>
      <c r="CX63" s="34"/>
      <c r="CY63" s="95"/>
      <c r="CZ63" s="220"/>
      <c r="DA63" s="95"/>
      <c r="DB63" s="34" t="str">
        <f t="shared" si="3"/>
        <v>101</v>
      </c>
      <c r="DC63" s="81" t="s">
        <v>159</v>
      </c>
      <c r="DD63" s="96"/>
      <c r="DE63" s="87"/>
      <c r="DF63" s="64"/>
      <c r="DG63" s="64"/>
      <c r="DH63" s="435" t="s">
        <v>2151</v>
      </c>
      <c r="DI63" s="436" t="s">
        <v>3248</v>
      </c>
      <c r="DJ63" s="436"/>
      <c r="DK63" s="75" t="str">
        <f t="shared" si="2"/>
        <v>93101PVA</v>
      </c>
      <c r="DL63" s="78" t="s">
        <v>2065</v>
      </c>
      <c r="DM63" s="78" t="s">
        <v>3258</v>
      </c>
      <c r="DN63" s="688" t="str">
        <f>""</f>
        <v/>
      </c>
      <c r="DO63" s="30"/>
      <c r="DP63" s="30"/>
      <c r="DQ63" s="367"/>
      <c r="DR63" s="367"/>
      <c r="DS63" s="367"/>
      <c r="DT63" s="367"/>
      <c r="DU63" s="367"/>
      <c r="DV63" s="27"/>
      <c r="DX63" s="85"/>
      <c r="DY63" s="85"/>
    </row>
    <row r="64" spans="1:129" ht="19.5" customHeight="1" thickTop="1" thickBot="1">
      <c r="A64" s="354"/>
      <c r="B64" s="181"/>
      <c r="C64" s="2129"/>
      <c r="D64" s="2130"/>
      <c r="E64" s="2130"/>
      <c r="F64" s="2130"/>
      <c r="G64" s="2130"/>
      <c r="H64" s="2130"/>
      <c r="I64" s="2131"/>
      <c r="J64" s="1678" t="s">
        <v>1087</v>
      </c>
      <c r="K64" s="1632"/>
      <c r="L64" s="2143"/>
      <c r="M64" s="2143"/>
      <c r="N64" s="2144"/>
      <c r="O64" s="2099" t="s">
        <v>4542</v>
      </c>
      <c r="P64" s="2099"/>
      <c r="Q64" s="2099"/>
      <c r="R64" s="2099"/>
      <c r="S64" s="2099"/>
      <c r="T64" s="2099"/>
      <c r="U64" s="2099"/>
      <c r="V64" s="2099"/>
      <c r="W64" s="2099"/>
      <c r="X64" s="2099"/>
      <c r="Y64" s="2101" t="s">
        <v>3194</v>
      </c>
      <c r="Z64" s="2102"/>
      <c r="AA64" s="2145" t="s">
        <v>4535</v>
      </c>
      <c r="AB64" s="2146"/>
      <c r="AC64" s="2146"/>
      <c r="AD64" s="2146"/>
      <c r="AE64" s="2146"/>
      <c r="AF64" s="2146"/>
      <c r="AG64" s="2146"/>
      <c r="AH64" s="2146"/>
      <c r="AI64" s="2146"/>
      <c r="AJ64" s="2146"/>
      <c r="AK64" s="2146"/>
      <c r="AL64" s="2147"/>
      <c r="AM64" s="919"/>
      <c r="AN64" s="920"/>
      <c r="AO64" s="920"/>
      <c r="AP64" s="920"/>
      <c r="AQ64" s="920"/>
      <c r="AR64" s="920"/>
      <c r="AS64" s="920"/>
      <c r="AT64" s="921"/>
      <c r="AU64" s="171"/>
      <c r="AV64" s="151" t="b">
        <v>1</v>
      </c>
      <c r="AW64" s="387">
        <f>IF(AV64=TRUE,AV64*1,0)</f>
        <v>1</v>
      </c>
      <c r="AX64" s="387" t="s">
        <v>2244</v>
      </c>
      <c r="AY64" s="92" t="str">
        <f>TEXT(BR64,"000")</f>
        <v>937</v>
      </c>
      <c r="AZ64" s="92">
        <f>AW64</f>
        <v>1</v>
      </c>
      <c r="BA64" s="83" t="str">
        <f>IF(O64="2回入金","92",IF(O64="早期2回","R2",IF(O64="早期3回","R3",IF(O64="早期4回","R4",IF(O64="早期6回","R6","")))))</f>
        <v/>
      </c>
      <c r="BB64" s="50" t="s">
        <v>995</v>
      </c>
      <c r="BC64" s="84" t="s">
        <v>2109</v>
      </c>
      <c r="BD64" s="17">
        <f>ROW(C64)</f>
        <v>64</v>
      </c>
      <c r="BE64" s="17">
        <f>IF(AY64&amp;BC64=AY63&amp;BC63,BE63+1,1)</f>
        <v>1</v>
      </c>
      <c r="BF64" s="610" t="str">
        <f>AY64&amp;BC64&amp;BE64</f>
        <v>937000001</v>
      </c>
      <c r="BG64" s="611"/>
      <c r="BH64" s="612"/>
      <c r="BI64" s="611" t="str">
        <f>BR64&amp;"01"</f>
        <v>93701</v>
      </c>
      <c r="BJ64" s="611">
        <f>IF(L64=$BC$2,1,0)</f>
        <v>0</v>
      </c>
      <c r="BK64" s="17">
        <f>AZ64</f>
        <v>1</v>
      </c>
      <c r="BL64" s="613">
        <f>IF(AW64=1,Q64,"")</f>
        <v>0</v>
      </c>
      <c r="BM64" s="613">
        <f>IF(AW64=1,U64,"")</f>
        <v>0</v>
      </c>
      <c r="BN64" s="614" t="str">
        <f>IF(AW64=0,"",Y64)</f>
        <v>詳細</v>
      </c>
      <c r="BO64" s="614">
        <f>IF(AW64=0,"",AC64)</f>
        <v>0</v>
      </c>
      <c r="BP64" s="613">
        <f>IF(AW64=0,"",AG64)</f>
        <v>0</v>
      </c>
      <c r="BR64" s="17">
        <v>937</v>
      </c>
      <c r="BT64" s="4"/>
      <c r="BU64" s="4"/>
      <c r="BV64" s="4"/>
      <c r="BW64" s="4"/>
      <c r="BZ64" s="255" t="s">
        <v>1333</v>
      </c>
      <c r="CA64" s="255" t="str">
        <f>TEXT(BZ64,"0000000")</f>
        <v>1610861</v>
      </c>
      <c r="CB64" s="587" t="s">
        <v>1380</v>
      </c>
      <c r="CC64" s="256"/>
      <c r="CD64" s="108"/>
      <c r="CE64" s="108"/>
      <c r="CF64" s="108"/>
      <c r="CG64" s="27"/>
      <c r="CH64" s="49" t="s">
        <v>431</v>
      </c>
      <c r="CI64" s="49" t="s">
        <v>63</v>
      </c>
      <c r="CJ64" s="49">
        <v>1</v>
      </c>
      <c r="CK64" s="49" t="s">
        <v>216</v>
      </c>
      <c r="CL64" s="49" t="s">
        <v>83</v>
      </c>
      <c r="CM64" s="49" t="s">
        <v>433</v>
      </c>
      <c r="CN64" s="49" t="s">
        <v>602</v>
      </c>
      <c r="CO64" s="50" t="s">
        <v>196</v>
      </c>
      <c r="CP64" s="51">
        <f>IF(記入シート1!AV91=TRUE,1,0)</f>
        <v>0</v>
      </c>
      <c r="CQ64" s="2"/>
      <c r="CR64" s="45"/>
      <c r="CS64" s="45"/>
      <c r="CT64" s="45"/>
      <c r="CU64" s="45"/>
      <c r="CV64" s="10"/>
      <c r="CW64" s="34" t="s">
        <v>5</v>
      </c>
      <c r="CX64" s="34" t="s">
        <v>629</v>
      </c>
      <c r="CY64" s="40" t="s">
        <v>736</v>
      </c>
      <c r="CZ64" s="41" t="s">
        <v>349</v>
      </c>
      <c r="DA64" s="40"/>
      <c r="DB64" s="34" t="str">
        <f t="shared" si="3"/>
        <v>101</v>
      </c>
      <c r="DC64" s="81" t="s">
        <v>156</v>
      </c>
      <c r="DD64" s="96"/>
      <c r="DE64" s="87"/>
      <c r="DF64" s="64"/>
      <c r="DG64" s="64"/>
      <c r="DH64" s="435" t="s">
        <v>2151</v>
      </c>
      <c r="DI64" s="436" t="s">
        <v>3249</v>
      </c>
      <c r="DJ64" s="436"/>
      <c r="DK64" s="75" t="str">
        <f t="shared" si="2"/>
        <v>93101PVB</v>
      </c>
      <c r="DL64" s="78" t="s">
        <v>2065</v>
      </c>
      <c r="DM64" s="78" t="s">
        <v>3259</v>
      </c>
      <c r="DN64" s="438" t="str">
        <f>"+81"&amp;MID(SUBSTITUTE(ASC(CP52),"-",""),2,15)</f>
        <v>+81</v>
      </c>
      <c r="DO64" s="30"/>
      <c r="DP64" s="30"/>
      <c r="DQ64" s="367"/>
      <c r="DR64" s="367"/>
      <c r="DS64" s="367"/>
      <c r="DT64" s="367"/>
      <c r="DU64" s="367"/>
      <c r="DV64" s="27"/>
      <c r="DX64" s="85"/>
      <c r="DY64" s="85"/>
    </row>
    <row r="65" spans="1:129" ht="19.5" customHeight="1" thickTop="1" thickBot="1">
      <c r="A65" s="354"/>
      <c r="B65" s="181"/>
      <c r="C65" s="2055" t="s">
        <v>2110</v>
      </c>
      <c r="D65" s="2056"/>
      <c r="E65" s="2056"/>
      <c r="F65" s="2056"/>
      <c r="G65" s="2056"/>
      <c r="H65" s="2056"/>
      <c r="I65" s="2057"/>
      <c r="J65" s="607"/>
      <c r="K65" s="608"/>
      <c r="L65" s="2033" t="s">
        <v>642</v>
      </c>
      <c r="M65" s="2034"/>
      <c r="N65" s="2035"/>
      <c r="O65" s="2110" t="s">
        <v>1071</v>
      </c>
      <c r="P65" s="2110"/>
      <c r="Q65" s="2092">
        <v>0</v>
      </c>
      <c r="R65" s="2093"/>
      <c r="S65" s="2093"/>
      <c r="T65" s="2094"/>
      <c r="U65" s="2092">
        <v>0</v>
      </c>
      <c r="V65" s="2093"/>
      <c r="W65" s="2093"/>
      <c r="X65" s="2094"/>
      <c r="Y65" s="2089">
        <v>0</v>
      </c>
      <c r="Z65" s="2090"/>
      <c r="AA65" s="2090"/>
      <c r="AB65" s="2091"/>
      <c r="AC65" s="2089">
        <v>0</v>
      </c>
      <c r="AD65" s="2090"/>
      <c r="AE65" s="2090"/>
      <c r="AF65" s="2091"/>
      <c r="AG65" s="2092">
        <v>0</v>
      </c>
      <c r="AH65" s="2093"/>
      <c r="AI65" s="2093"/>
      <c r="AJ65" s="2094"/>
      <c r="AK65" s="2112" t="s">
        <v>2111</v>
      </c>
      <c r="AL65" s="2113"/>
      <c r="AM65" s="2113"/>
      <c r="AN65" s="2114"/>
      <c r="AO65" s="2114"/>
      <c r="AP65" s="2114"/>
      <c r="AQ65" s="2114"/>
      <c r="AR65" s="2114"/>
      <c r="AS65" s="2114"/>
      <c r="AT65" s="2115"/>
      <c r="AU65" s="171"/>
      <c r="AV65" s="151" t="b">
        <v>1</v>
      </c>
      <c r="AW65" s="387">
        <f>IF(AV65=TRUE,AV65*1,0)</f>
        <v>1</v>
      </c>
      <c r="AX65" s="387" t="s">
        <v>2110</v>
      </c>
      <c r="AY65" s="92" t="str">
        <f>TEXT(BR65,"000")</f>
        <v>938</v>
      </c>
      <c r="AZ65" s="92">
        <f>AW65</f>
        <v>1</v>
      </c>
      <c r="BA65" s="83" t="str">
        <f>IF(O65="2回入金","92",IF(O65="早期2回","R2",IF(O65="早期3回","R3",IF(O65="早期4回","R4",IF(O65="早期6回","R6","")))))</f>
        <v>92</v>
      </c>
      <c r="BB65" s="50" t="s">
        <v>995</v>
      </c>
      <c r="BC65" s="84" t="s">
        <v>2109</v>
      </c>
      <c r="BD65" s="17">
        <f>ROW(C65)</f>
        <v>65</v>
      </c>
      <c r="BE65" s="17">
        <f>IF(AY65&amp;BC65=AY64&amp;BC64,BE64+1,1)</f>
        <v>1</v>
      </c>
      <c r="BF65" s="610" t="str">
        <f>AY65&amp;BC65&amp;BE65</f>
        <v>938000001</v>
      </c>
      <c r="BG65" s="611"/>
      <c r="BH65" s="612"/>
      <c r="BI65" s="611" t="str">
        <f>BR65&amp;"01"</f>
        <v>93801</v>
      </c>
      <c r="BJ65" s="611">
        <f>IF(L65=$BC$2,1,0)</f>
        <v>1</v>
      </c>
      <c r="BK65" s="17">
        <f>AZ65</f>
        <v>1</v>
      </c>
      <c r="BL65" s="613">
        <f>IF(AW65=1,Q65,"")</f>
        <v>0</v>
      </c>
      <c r="BM65" s="613">
        <f>IF(AW65=1,U65,"")</f>
        <v>0</v>
      </c>
      <c r="BN65" s="614">
        <f>IF(AW65=0,"",Y65)</f>
        <v>0</v>
      </c>
      <c r="BO65" s="614">
        <f>IF(AW65=0,"",AC65)</f>
        <v>0</v>
      </c>
      <c r="BP65" s="613">
        <f>IF(AW65=0,"",AG65)</f>
        <v>0</v>
      </c>
      <c r="BR65" s="17">
        <v>938</v>
      </c>
      <c r="BT65" s="4"/>
      <c r="BU65" s="4"/>
      <c r="BV65" s="4"/>
      <c r="BW65" s="4"/>
      <c r="BZ65" s="255" t="s">
        <v>1332</v>
      </c>
      <c r="CA65" s="255" t="str">
        <f>TEXT(BZ65,"0000000")</f>
        <v>1610862</v>
      </c>
      <c r="CB65" s="587" t="s">
        <v>1381</v>
      </c>
      <c r="CC65" s="256"/>
      <c r="CD65" s="108"/>
      <c r="CE65" s="108"/>
      <c r="CF65" s="108"/>
      <c r="CG65" s="27"/>
      <c r="CH65" s="49" t="s">
        <v>434</v>
      </c>
      <c r="CI65" s="49" t="s">
        <v>63</v>
      </c>
      <c r="CJ65" s="49">
        <v>1</v>
      </c>
      <c r="CK65" s="49" t="s">
        <v>216</v>
      </c>
      <c r="CL65" s="49" t="s">
        <v>83</v>
      </c>
      <c r="CM65" s="49" t="s">
        <v>433</v>
      </c>
      <c r="CN65" s="49" t="s">
        <v>602</v>
      </c>
      <c r="CO65" s="50" t="s">
        <v>193</v>
      </c>
      <c r="CP65" s="51">
        <f>IF(記入シート1!AW91=TRUE,1,0)</f>
        <v>0</v>
      </c>
      <c r="CQ65" s="2"/>
      <c r="CR65" s="45"/>
      <c r="CS65" s="45"/>
      <c r="CT65" s="45"/>
      <c r="CU65" s="45"/>
      <c r="CV65" s="10"/>
      <c r="CW65" s="34" t="s">
        <v>153</v>
      </c>
      <c r="CX65" s="34" t="s">
        <v>90</v>
      </c>
      <c r="CY65" s="40" t="s">
        <v>744</v>
      </c>
      <c r="CZ65" s="41" t="s">
        <v>349</v>
      </c>
      <c r="DA65" s="40"/>
      <c r="DB65" s="34" t="str">
        <f t="shared" si="3"/>
        <v>101</v>
      </c>
      <c r="DC65" s="102">
        <v>101014</v>
      </c>
      <c r="DD65" s="96"/>
      <c r="DE65" s="87"/>
      <c r="DF65" s="64"/>
      <c r="DG65" s="64"/>
      <c r="DH65" s="435" t="s">
        <v>2151</v>
      </c>
      <c r="DI65" s="436" t="s">
        <v>3250</v>
      </c>
      <c r="DJ65" s="436"/>
      <c r="DK65" s="75" t="str">
        <f t="shared" si="2"/>
        <v>93101PVC</v>
      </c>
      <c r="DL65" s="78" t="s">
        <v>2065</v>
      </c>
      <c r="DM65" s="78" t="s">
        <v>3260</v>
      </c>
      <c r="DN65" s="438" t="str">
        <f>ASC(AV46)</f>
        <v/>
      </c>
      <c r="DO65" s="30"/>
      <c r="DP65" s="30"/>
      <c r="DQ65" s="367"/>
      <c r="DR65" s="367"/>
      <c r="DS65" s="367"/>
      <c r="DT65" s="367"/>
      <c r="DU65" s="367"/>
      <c r="DV65" s="27"/>
      <c r="DX65" s="85"/>
      <c r="DY65" s="85"/>
    </row>
    <row r="66" spans="1:129" ht="19.5" customHeight="1" thickTop="1" thickBot="1">
      <c r="A66" s="354"/>
      <c r="B66" s="181"/>
      <c r="C66" s="2061"/>
      <c r="D66" s="2062"/>
      <c r="E66" s="2062"/>
      <c r="F66" s="2062"/>
      <c r="G66" s="2062"/>
      <c r="H66" s="2062"/>
      <c r="I66" s="2063"/>
      <c r="J66" s="2116" t="s">
        <v>2112</v>
      </c>
      <c r="K66" s="1377"/>
      <c r="L66" s="1377"/>
      <c r="M66" s="1377"/>
      <c r="N66" s="2117"/>
      <c r="O66" s="2118" t="s">
        <v>2122</v>
      </c>
      <c r="P66" s="2119"/>
      <c r="Q66" s="2119"/>
      <c r="R66" s="2119"/>
      <c r="S66" s="2119"/>
      <c r="T66" s="2119"/>
      <c r="U66" s="2119"/>
      <c r="V66" s="2119"/>
      <c r="W66" s="2119"/>
      <c r="X66" s="2120"/>
      <c r="Y66" s="2121" t="s">
        <v>3191</v>
      </c>
      <c r="Z66" s="2122"/>
      <c r="AA66" s="2122"/>
      <c r="AB66" s="2123"/>
      <c r="AC66" s="665"/>
      <c r="AD66" s="2122" t="s">
        <v>3192</v>
      </c>
      <c r="AE66" s="2122"/>
      <c r="AF66" s="2122"/>
      <c r="AG66" s="666"/>
      <c r="AH66" s="2124" t="s">
        <v>3193</v>
      </c>
      <c r="AI66" s="2124"/>
      <c r="AJ66" s="2125"/>
      <c r="AK66" s="604"/>
      <c r="AL66" s="605"/>
      <c r="AM66" s="605"/>
      <c r="AN66" s="605"/>
      <c r="AO66" s="605"/>
      <c r="AP66" s="605"/>
      <c r="AQ66" s="605"/>
      <c r="AR66" s="605"/>
      <c r="AS66" s="605"/>
      <c r="AT66" s="606"/>
      <c r="AU66" s="171"/>
      <c r="AV66" s="151" t="str">
        <f>LEFT(O66,2)</f>
        <v>05</v>
      </c>
      <c r="AW66" s="667">
        <v>1</v>
      </c>
      <c r="AX66" s="499" t="str">
        <f>IF(AND(AV65=TRUE,OR(AV66="00",AV66="",AW66=0)),"NG","OK")</f>
        <v>OK</v>
      </c>
      <c r="AY66" s="499" t="s">
        <v>2114</v>
      </c>
      <c r="BT66" s="4"/>
      <c r="BU66" s="4"/>
      <c r="BV66" s="4"/>
      <c r="BW66" s="4"/>
      <c r="BZ66" s="369" t="s">
        <v>1334</v>
      </c>
      <c r="CA66" s="369" t="str">
        <f t="shared" ref="CA66:CA84" si="13">TEXT(BZ66,"0000000")</f>
        <v>1611513</v>
      </c>
      <c r="CB66" s="243" t="s">
        <v>1382</v>
      </c>
      <c r="CC66" s="256"/>
      <c r="CD66" s="108"/>
      <c r="CE66" s="108"/>
      <c r="CF66" s="108"/>
      <c r="CG66" s="27"/>
      <c r="CH66" s="49" t="s">
        <v>435</v>
      </c>
      <c r="CI66" s="49" t="s">
        <v>63</v>
      </c>
      <c r="CJ66" s="49">
        <v>1</v>
      </c>
      <c r="CK66" s="49" t="s">
        <v>216</v>
      </c>
      <c r="CL66" s="49" t="s">
        <v>83</v>
      </c>
      <c r="CM66" s="49" t="s">
        <v>433</v>
      </c>
      <c r="CN66" s="49" t="s">
        <v>602</v>
      </c>
      <c r="CO66" s="50" t="s">
        <v>191</v>
      </c>
      <c r="CP66" s="51">
        <f>IF(記入シート1!AX91=TRUE,1,0)</f>
        <v>0</v>
      </c>
      <c r="CQ66" s="2"/>
      <c r="CR66" s="45"/>
      <c r="CS66" s="45"/>
      <c r="CT66" s="45"/>
      <c r="CU66" s="45"/>
      <c r="CV66" s="10"/>
      <c r="CW66" s="34" t="s">
        <v>729</v>
      </c>
      <c r="CX66" s="34" t="s">
        <v>629</v>
      </c>
      <c r="CY66" s="40" t="s">
        <v>736</v>
      </c>
      <c r="CZ66" s="41" t="s">
        <v>343</v>
      </c>
      <c r="DA66" s="40"/>
      <c r="DB66" s="34" t="str">
        <f t="shared" si="3"/>
        <v>101</v>
      </c>
      <c r="DC66" s="81" t="s">
        <v>150</v>
      </c>
      <c r="DD66" s="96"/>
      <c r="DE66" s="87"/>
      <c r="DF66" s="64"/>
      <c r="DG66" s="64"/>
      <c r="DH66" s="435" t="s">
        <v>2151</v>
      </c>
      <c r="DI66" s="436" t="s">
        <v>3251</v>
      </c>
      <c r="DJ66" s="436"/>
      <c r="DK66" s="75" t="str">
        <f t="shared" si="2"/>
        <v>93101PVD</v>
      </c>
      <c r="DL66" s="78" t="s">
        <v>2065</v>
      </c>
      <c r="DM66" s="78" t="s">
        <v>3261</v>
      </c>
      <c r="DN66" s="688" t="str">
        <f>""</f>
        <v/>
      </c>
      <c r="DO66" s="30"/>
      <c r="DP66" s="30"/>
      <c r="DQ66" s="367"/>
      <c r="DR66" s="367"/>
      <c r="DS66" s="367"/>
      <c r="DT66" s="367"/>
      <c r="DU66" s="367"/>
      <c r="DV66" s="27"/>
      <c r="DX66" s="85"/>
      <c r="DY66" s="85"/>
    </row>
    <row r="67" spans="1:129" ht="19.5" hidden="1" customHeight="1" thickTop="1" thickBot="1">
      <c r="A67" s="354" t="s">
        <v>1234</v>
      </c>
      <c r="B67" s="181"/>
      <c r="C67" s="2055" t="s">
        <v>2115</v>
      </c>
      <c r="D67" s="2056"/>
      <c r="E67" s="2056"/>
      <c r="F67" s="2056"/>
      <c r="G67" s="2056"/>
      <c r="H67" s="2056"/>
      <c r="I67" s="2057"/>
      <c r="J67" s="607"/>
      <c r="K67" s="608"/>
      <c r="L67" s="2107" t="s">
        <v>642</v>
      </c>
      <c r="M67" s="2108"/>
      <c r="N67" s="2109"/>
      <c r="O67" s="2110" t="s">
        <v>1071</v>
      </c>
      <c r="P67" s="2110"/>
      <c r="Q67" s="2092">
        <v>0</v>
      </c>
      <c r="R67" s="2093"/>
      <c r="S67" s="2093"/>
      <c r="T67" s="2094"/>
      <c r="U67" s="2092">
        <v>0</v>
      </c>
      <c r="V67" s="2093"/>
      <c r="W67" s="2093"/>
      <c r="X67" s="2094"/>
      <c r="Y67" s="2111">
        <v>0</v>
      </c>
      <c r="Z67" s="2111"/>
      <c r="AA67" s="2111"/>
      <c r="AB67" s="2111"/>
      <c r="AC67" s="2089">
        <v>0</v>
      </c>
      <c r="AD67" s="2090"/>
      <c r="AE67" s="2090"/>
      <c r="AF67" s="2091"/>
      <c r="AG67" s="2092">
        <v>0</v>
      </c>
      <c r="AH67" s="2093"/>
      <c r="AI67" s="2093"/>
      <c r="AJ67" s="2094"/>
      <c r="AK67" s="2095"/>
      <c r="AL67" s="2096"/>
      <c r="AM67" s="2096"/>
      <c r="AN67" s="2096"/>
      <c r="AO67" s="2096"/>
      <c r="AP67" s="2096"/>
      <c r="AQ67" s="2096"/>
      <c r="AR67" s="2096"/>
      <c r="AS67" s="2096"/>
      <c r="AT67" s="2097"/>
      <c r="AU67" s="171"/>
      <c r="AV67" s="151" t="b">
        <v>1</v>
      </c>
      <c r="AW67" s="387">
        <f>IF(AV67=TRUE,AV67*1,0)</f>
        <v>1</v>
      </c>
      <c r="AX67" s="387" t="s">
        <v>2115</v>
      </c>
      <c r="AY67" s="92" t="str">
        <f>TEXT(BR67,"000")</f>
        <v>939</v>
      </c>
      <c r="AZ67" s="92">
        <f>AW67</f>
        <v>1</v>
      </c>
      <c r="BA67" s="83" t="str">
        <f>IF(O67="2回入金","92",IF(O67="早期2回","R2",IF(O67="早期3回","R3",IF(O67="早期4回","R4",IF(O67="早期6回","R6","")))))</f>
        <v>92</v>
      </c>
      <c r="BB67" s="106" t="s">
        <v>995</v>
      </c>
      <c r="BC67" s="84" t="s">
        <v>2109</v>
      </c>
      <c r="BD67" s="83">
        <f>ROW(C67)</f>
        <v>67</v>
      </c>
      <c r="BE67" s="83">
        <f>IF(AY67&amp;BC67=AY65&amp;BC65,BE65+1,1)</f>
        <v>1</v>
      </c>
      <c r="BF67" s="610" t="str">
        <f>AY67&amp;BC67&amp;BE67</f>
        <v>939000001</v>
      </c>
      <c r="BG67" s="534"/>
      <c r="BH67" s="615"/>
      <c r="BI67" s="534" t="str">
        <f>BR67&amp;"01"</f>
        <v>93901</v>
      </c>
      <c r="BJ67" s="534">
        <f>IF(L67=$BC$2,1,0)</f>
        <v>1</v>
      </c>
      <c r="BK67" s="83">
        <f>AZ67</f>
        <v>1</v>
      </c>
      <c r="BL67" s="613">
        <f>IF(AW67=1,Q67,"")</f>
        <v>0</v>
      </c>
      <c r="BM67" s="613">
        <f>IF(AW67=1,U67,"")</f>
        <v>0</v>
      </c>
      <c r="BN67" s="614">
        <f>IF(AW67=0,"",Y67)</f>
        <v>0</v>
      </c>
      <c r="BO67" s="614">
        <f>IF(AW67=0,"",AC67)</f>
        <v>0</v>
      </c>
      <c r="BP67" s="613">
        <f>IF(AW67=0,"",AG67)</f>
        <v>0</v>
      </c>
      <c r="BR67" s="17">
        <v>939</v>
      </c>
      <c r="BT67" s="4"/>
      <c r="BU67" s="4"/>
      <c r="BV67" s="4"/>
      <c r="BW67" s="4"/>
      <c r="BZ67" s="369" t="s">
        <v>1335</v>
      </c>
      <c r="CA67" s="369" t="str">
        <f t="shared" si="13"/>
        <v>1611514</v>
      </c>
      <c r="CB67" s="243" t="s">
        <v>1383</v>
      </c>
      <c r="CC67" s="256"/>
      <c r="CD67" s="108"/>
      <c r="CE67" s="108"/>
      <c r="CF67" s="108"/>
      <c r="CG67" s="27"/>
      <c r="CH67" s="49" t="s">
        <v>440</v>
      </c>
      <c r="CI67" s="49" t="s">
        <v>63</v>
      </c>
      <c r="CJ67" s="49">
        <v>1</v>
      </c>
      <c r="CK67" s="49" t="s">
        <v>216</v>
      </c>
      <c r="CL67" s="49" t="s">
        <v>83</v>
      </c>
      <c r="CM67" s="49" t="s">
        <v>433</v>
      </c>
      <c r="CN67" s="49" t="s">
        <v>602</v>
      </c>
      <c r="CO67" s="50" t="s">
        <v>189</v>
      </c>
      <c r="CP67" s="51">
        <f>IF(OR(記入シート1!AY91=TRUE,記入シート1!AZ91=TRUE,記入シート1!BA91=TRUE,記入シート1!BB91=TRUE,記入シート1!BC91=TRUE,),1,0)</f>
        <v>0</v>
      </c>
      <c r="CQ67" s="2"/>
      <c r="CR67" s="45"/>
      <c r="CS67" s="45"/>
      <c r="CT67" s="45"/>
      <c r="CU67" s="45"/>
      <c r="CV67" s="10"/>
      <c r="CW67" s="34" t="s">
        <v>146</v>
      </c>
      <c r="CX67" s="34" t="s">
        <v>629</v>
      </c>
      <c r="CY67" s="40" t="s">
        <v>736</v>
      </c>
      <c r="CZ67" s="41" t="s">
        <v>343</v>
      </c>
      <c r="DA67" s="40"/>
      <c r="DB67" s="34" t="str">
        <f t="shared" si="3"/>
        <v>101</v>
      </c>
      <c r="DC67" s="81" t="s">
        <v>147</v>
      </c>
      <c r="DD67" s="96"/>
      <c r="DE67" s="87"/>
      <c r="DF67" s="64"/>
      <c r="DG67" s="64"/>
      <c r="DH67" s="436" t="s">
        <v>2150</v>
      </c>
      <c r="DI67" s="436" t="s">
        <v>2170</v>
      </c>
      <c r="DJ67" s="626"/>
      <c r="DK67" s="75" t="str">
        <f t="shared" ref="DK67:DK113" si="14">DL67&amp;DM67</f>
        <v>93201PW2</v>
      </c>
      <c r="DL67" s="78" t="s">
        <v>2063</v>
      </c>
      <c r="DM67" s="78" t="s">
        <v>2181</v>
      </c>
      <c r="DN67" s="627" t="str">
        <f>T(記入シート1!I67)</f>
        <v/>
      </c>
      <c r="DO67" s="30"/>
      <c r="DP67" s="30"/>
      <c r="DQ67" s="367"/>
      <c r="DR67" s="367"/>
      <c r="DS67" s="367"/>
      <c r="DT67" s="367"/>
      <c r="DU67" s="367"/>
      <c r="DV67" s="27"/>
      <c r="DX67" s="85"/>
      <c r="DY67" s="85"/>
    </row>
    <row r="68" spans="1:129" ht="19.5" hidden="1" customHeight="1" thickTop="1">
      <c r="A68" s="354" t="s">
        <v>1234</v>
      </c>
      <c r="B68" s="181"/>
      <c r="C68" s="2058"/>
      <c r="D68" s="2059"/>
      <c r="E68" s="2059"/>
      <c r="F68" s="2059"/>
      <c r="G68" s="2059"/>
      <c r="H68" s="2059"/>
      <c r="I68" s="2060"/>
      <c r="J68" s="1678" t="s">
        <v>1028</v>
      </c>
      <c r="K68" s="1632"/>
      <c r="L68" s="1524"/>
      <c r="M68" s="1524"/>
      <c r="N68" s="1526"/>
      <c r="O68" s="2098" t="s">
        <v>3882</v>
      </c>
      <c r="P68" s="2099"/>
      <c r="Q68" s="2099"/>
      <c r="R68" s="2099"/>
      <c r="S68" s="2099"/>
      <c r="T68" s="2099"/>
      <c r="U68" s="2099"/>
      <c r="V68" s="2099"/>
      <c r="W68" s="2099"/>
      <c r="X68" s="2100"/>
      <c r="Y68" s="2101" t="s">
        <v>3194</v>
      </c>
      <c r="Z68" s="2102"/>
      <c r="AA68" s="2103" t="s">
        <v>4048</v>
      </c>
      <c r="AB68" s="2104"/>
      <c r="AC68" s="2104"/>
      <c r="AD68" s="2104"/>
      <c r="AE68" s="2104"/>
      <c r="AF68" s="2104"/>
      <c r="AG68" s="2104"/>
      <c r="AH68" s="2104"/>
      <c r="AI68" s="2104"/>
      <c r="AJ68" s="2104"/>
      <c r="AK68" s="2104"/>
      <c r="AL68" s="2105"/>
      <c r="AO68" s="2106" t="s">
        <v>4077</v>
      </c>
      <c r="AP68" s="2106"/>
      <c r="AQ68" s="2106"/>
      <c r="AR68" s="870"/>
      <c r="AS68" s="870"/>
      <c r="AT68" s="871"/>
      <c r="AU68" s="171"/>
      <c r="AV68" s="151" t="str">
        <f>LEFT(O68,4)</f>
        <v>5200</v>
      </c>
      <c r="AW68" s="536" t="str">
        <f>MID(O68,6,LEN(O68)-5)</f>
        <v>ショッピング・小売</v>
      </c>
      <c r="AX68" s="536" t="str">
        <f>IF(AR68="","2",LEFT(AR68,1))</f>
        <v>2</v>
      </c>
      <c r="AY68" s="684" t="str">
        <f>IF(AV67=TRUE,IF(AND(AV68&lt;&gt;"0000",AV69&lt;&gt;"0000",LEFT(AV68,2)=LEFT(AV69,2)),"OK","NG"),"OK")</f>
        <v>OK</v>
      </c>
      <c r="AZ68" s="684" t="s">
        <v>3195</v>
      </c>
      <c r="BA68" s="673"/>
      <c r="BB68" s="673"/>
      <c r="BC68" s="674"/>
      <c r="BD68" s="673"/>
      <c r="BE68" s="673"/>
      <c r="BF68" s="675"/>
      <c r="BG68" s="676"/>
      <c r="BH68" s="677"/>
      <c r="BI68" s="676"/>
      <c r="BJ68" s="676"/>
      <c r="BK68" s="673"/>
      <c r="BL68" s="678"/>
      <c r="BM68" s="678"/>
      <c r="BN68" s="679"/>
      <c r="BO68" s="679"/>
      <c r="BP68" s="678"/>
      <c r="BR68" s="673"/>
      <c r="BT68" s="4"/>
      <c r="BU68" s="4"/>
      <c r="BV68" s="4"/>
      <c r="BW68" s="4"/>
      <c r="BZ68" s="369" t="s">
        <v>1336</v>
      </c>
      <c r="CA68" s="369" t="str">
        <f t="shared" si="13"/>
        <v>1611515</v>
      </c>
      <c r="CB68" s="243" t="s">
        <v>1384</v>
      </c>
      <c r="CC68" s="256"/>
      <c r="CD68" s="108"/>
      <c r="CE68" s="108"/>
      <c r="CF68" s="108"/>
      <c r="CG68" s="27"/>
      <c r="CH68" s="49" t="s">
        <v>446</v>
      </c>
      <c r="CI68" s="49" t="s">
        <v>21</v>
      </c>
      <c r="CJ68" s="49">
        <v>60</v>
      </c>
      <c r="CK68" s="49" t="s">
        <v>83</v>
      </c>
      <c r="CL68" s="49" t="s">
        <v>83</v>
      </c>
      <c r="CM68" s="49"/>
      <c r="CN68" s="49" t="s">
        <v>603</v>
      </c>
      <c r="CO68" s="50" t="s">
        <v>186</v>
      </c>
      <c r="CP68" s="51" t="str">
        <f>T(記入シート1!N92)</f>
        <v/>
      </c>
      <c r="CQ68" s="2"/>
      <c r="CR68" s="45"/>
      <c r="CS68" s="45"/>
      <c r="CT68" s="45"/>
      <c r="CU68" s="45"/>
      <c r="CV68" s="10"/>
      <c r="CW68" s="34" t="s">
        <v>145</v>
      </c>
      <c r="CX68" s="34" t="s">
        <v>709</v>
      </c>
      <c r="CY68" s="40" t="s">
        <v>745</v>
      </c>
      <c r="CZ68" s="41" t="s">
        <v>354</v>
      </c>
      <c r="DA68" s="40" t="s">
        <v>755</v>
      </c>
      <c r="DB68" s="34" t="str">
        <f t="shared" si="3"/>
        <v>101</v>
      </c>
      <c r="DC68" s="102">
        <v>101017</v>
      </c>
      <c r="DD68" s="96"/>
      <c r="DE68" s="87"/>
      <c r="DF68" s="64"/>
      <c r="DG68" s="64"/>
      <c r="DH68" s="436" t="s">
        <v>2150</v>
      </c>
      <c r="DI68" s="436" t="s">
        <v>2171</v>
      </c>
      <c r="DJ68" s="626"/>
      <c r="DK68" s="75" t="str">
        <f t="shared" si="14"/>
        <v>93201PW3</v>
      </c>
      <c r="DL68" s="78" t="s">
        <v>2063</v>
      </c>
      <c r="DM68" s="78" t="s">
        <v>2182</v>
      </c>
      <c r="DN68" s="627" t="str">
        <f>"5"</f>
        <v>5</v>
      </c>
      <c r="DO68" s="30"/>
      <c r="DP68" s="30"/>
      <c r="DQ68" s="367"/>
      <c r="DR68" s="367"/>
      <c r="DS68" s="367"/>
      <c r="DT68" s="367"/>
      <c r="DU68" s="367"/>
      <c r="DV68" s="27"/>
      <c r="DX68" s="85"/>
      <c r="DY68" s="85"/>
    </row>
    <row r="69" spans="1:129" ht="19.5" hidden="1" customHeight="1" thickBot="1">
      <c r="A69" s="354" t="s">
        <v>1234</v>
      </c>
      <c r="B69" s="181"/>
      <c r="C69" s="2058"/>
      <c r="D69" s="2059"/>
      <c r="E69" s="2059"/>
      <c r="F69" s="2059"/>
      <c r="G69" s="2059"/>
      <c r="H69" s="2059"/>
      <c r="I69" s="2060"/>
      <c r="J69" s="668"/>
      <c r="K69" s="669"/>
      <c r="L69" s="2083"/>
      <c r="M69" s="2083"/>
      <c r="N69" s="2084"/>
      <c r="O69" s="2085"/>
      <c r="P69" s="2085"/>
      <c r="Q69" s="2067"/>
      <c r="R69" s="2068"/>
      <c r="S69" s="2068"/>
      <c r="T69" s="2069"/>
      <c r="U69" s="2067"/>
      <c r="V69" s="2068"/>
      <c r="W69" s="2068"/>
      <c r="X69" s="2069"/>
      <c r="Y69" s="2064"/>
      <c r="Z69" s="2065"/>
      <c r="AA69" s="2065"/>
      <c r="AB69" s="2066"/>
      <c r="AC69" s="2064"/>
      <c r="AD69" s="2065"/>
      <c r="AE69" s="2065"/>
      <c r="AF69" s="2066"/>
      <c r="AG69" s="2067"/>
      <c r="AH69" s="2068"/>
      <c r="AI69" s="2068"/>
      <c r="AJ69" s="2069"/>
      <c r="AK69" s="2070"/>
      <c r="AL69" s="2071"/>
      <c r="AM69" s="2071"/>
      <c r="AN69" s="2071"/>
      <c r="AO69" s="2071"/>
      <c r="AP69" s="2071"/>
      <c r="AQ69" s="2071"/>
      <c r="AR69" s="2071"/>
      <c r="AS69" s="2071"/>
      <c r="AT69" s="2072"/>
      <c r="AU69" s="171"/>
      <c r="AV69" s="151" t="str">
        <f>LEFT(AA68,4)</f>
        <v>5221</v>
      </c>
      <c r="AW69" s="20" t="str">
        <f>MID(AA68,6,LEN(AA68)-5)</f>
        <v>携帯電話・PHS</v>
      </c>
      <c r="AY69" s="253"/>
      <c r="AZ69" s="253"/>
      <c r="BA69" s="10"/>
      <c r="BB69" s="10"/>
      <c r="BC69" s="82"/>
      <c r="BD69" s="10"/>
      <c r="BE69" s="10"/>
      <c r="BF69" s="680"/>
      <c r="BG69" s="368"/>
      <c r="BH69" s="681"/>
      <c r="BI69" s="368"/>
      <c r="BJ69" s="368"/>
      <c r="BK69" s="10"/>
      <c r="BL69" s="682"/>
      <c r="BM69" s="682"/>
      <c r="BN69" s="683"/>
      <c r="BO69" s="683"/>
      <c r="BP69" s="682"/>
      <c r="BR69" s="10"/>
      <c r="BT69" s="4"/>
      <c r="BU69" s="4"/>
      <c r="BV69" s="4"/>
      <c r="BW69" s="4"/>
      <c r="BZ69" s="369" t="s">
        <v>1337</v>
      </c>
      <c r="CA69" s="369" t="str">
        <f t="shared" si="13"/>
        <v>1611516</v>
      </c>
      <c r="CB69" s="243" t="s">
        <v>1385</v>
      </c>
      <c r="CC69" s="256"/>
      <c r="CD69" s="108"/>
      <c r="CE69" s="108"/>
      <c r="CF69" s="108"/>
      <c r="CG69" s="27"/>
      <c r="CH69" s="49" t="s">
        <v>447</v>
      </c>
      <c r="CI69" s="49" t="s">
        <v>22</v>
      </c>
      <c r="CJ69" s="49">
        <v>30</v>
      </c>
      <c r="CK69" s="49" t="s">
        <v>83</v>
      </c>
      <c r="CL69" s="49" t="s">
        <v>83</v>
      </c>
      <c r="CM69" s="49"/>
      <c r="CN69" s="49" t="s">
        <v>603</v>
      </c>
      <c r="CO69" s="50" t="s">
        <v>183</v>
      </c>
      <c r="CP69" s="51" t="str">
        <f>ASC(記入シート1!AB92)</f>
        <v/>
      </c>
      <c r="CQ69" s="2"/>
      <c r="CR69" s="45"/>
      <c r="CS69" s="45"/>
      <c r="CT69" s="45"/>
      <c r="CU69" s="45"/>
      <c r="CV69" s="10"/>
      <c r="CW69" s="34" t="s">
        <v>730</v>
      </c>
      <c r="CX69" s="34" t="s">
        <v>758</v>
      </c>
      <c r="CY69" s="40" t="s">
        <v>736</v>
      </c>
      <c r="CZ69" s="41" t="s">
        <v>349</v>
      </c>
      <c r="DA69" s="40" t="s">
        <v>713</v>
      </c>
      <c r="DB69" s="34" t="str">
        <f t="shared" si="3"/>
        <v>101</v>
      </c>
      <c r="DC69" s="81" t="s">
        <v>143</v>
      </c>
      <c r="DD69" s="96"/>
      <c r="DE69" s="87"/>
      <c r="DF69" s="64"/>
      <c r="DG69" s="64"/>
      <c r="DH69" s="436" t="s">
        <v>2150</v>
      </c>
      <c r="DI69" s="436" t="s">
        <v>3245</v>
      </c>
      <c r="DJ69" s="626"/>
      <c r="DK69" s="75" t="str">
        <f t="shared" si="14"/>
        <v>93201PW4</v>
      </c>
      <c r="DL69" s="78" t="s">
        <v>2063</v>
      </c>
      <c r="DM69" s="78" t="s">
        <v>3265</v>
      </c>
      <c r="DN69" s="692" t="str">
        <f>""</f>
        <v/>
      </c>
      <c r="DO69" s="30"/>
      <c r="DP69" s="30"/>
      <c r="DQ69" s="367"/>
      <c r="DR69" s="367"/>
      <c r="DS69" s="367"/>
      <c r="DT69" s="367"/>
      <c r="DU69" s="367"/>
      <c r="DV69" s="27"/>
      <c r="DX69" s="85"/>
      <c r="DY69" s="85"/>
    </row>
    <row r="70" spans="1:129" ht="19.5" hidden="1" customHeight="1" thickTop="1" thickBot="1">
      <c r="A70" s="354" t="s">
        <v>1234</v>
      </c>
      <c r="B70" s="181"/>
      <c r="C70" s="2061"/>
      <c r="D70" s="2062"/>
      <c r="E70" s="2062"/>
      <c r="F70" s="2062"/>
      <c r="G70" s="2062"/>
      <c r="H70" s="2062"/>
      <c r="I70" s="2063"/>
      <c r="J70" s="130"/>
      <c r="K70" s="130"/>
      <c r="L70" s="2073"/>
      <c r="M70" s="2074"/>
      <c r="N70" s="2075"/>
      <c r="O70" s="2076"/>
      <c r="P70" s="2076"/>
      <c r="Q70" s="2077"/>
      <c r="R70" s="2078"/>
      <c r="S70" s="2078"/>
      <c r="T70" s="2079"/>
      <c r="U70" s="2077"/>
      <c r="V70" s="2078"/>
      <c r="W70" s="2078"/>
      <c r="X70" s="2079"/>
      <c r="Y70" s="2080"/>
      <c r="Z70" s="2081"/>
      <c r="AA70" s="2081"/>
      <c r="AB70" s="2082"/>
      <c r="AC70" s="2080"/>
      <c r="AD70" s="2081"/>
      <c r="AE70" s="2081"/>
      <c r="AF70" s="2082"/>
      <c r="AG70" s="2077"/>
      <c r="AH70" s="2078"/>
      <c r="AI70" s="2078"/>
      <c r="AJ70" s="2079"/>
      <c r="AK70" s="2086"/>
      <c r="AL70" s="2087"/>
      <c r="AM70" s="2087"/>
      <c r="AN70" s="2087"/>
      <c r="AO70" s="2087"/>
      <c r="AP70" s="2087"/>
      <c r="AQ70" s="2087"/>
      <c r="AR70" s="2087"/>
      <c r="AS70" s="2087"/>
      <c r="AT70" s="2088"/>
      <c r="AU70" s="171"/>
      <c r="AW70" s="253"/>
      <c r="AX70" s="253"/>
      <c r="AY70" s="253"/>
      <c r="AZ70" s="253"/>
      <c r="BA70" s="10"/>
      <c r="BB70" s="82"/>
      <c r="BC70" s="82"/>
      <c r="BD70" s="10"/>
      <c r="BE70" s="10"/>
      <c r="BF70" s="680"/>
      <c r="BG70" s="368"/>
      <c r="BH70" s="681"/>
      <c r="BI70" s="368"/>
      <c r="BJ70" s="368"/>
      <c r="BK70" s="10"/>
      <c r="BL70" s="682"/>
      <c r="BM70" s="682"/>
      <c r="BN70" s="683"/>
      <c r="BO70" s="683"/>
      <c r="BP70" s="682"/>
      <c r="BR70" s="10"/>
      <c r="BT70" s="4"/>
      <c r="BU70" s="4"/>
      <c r="BV70" s="4"/>
      <c r="BW70" s="4"/>
      <c r="BZ70" s="369" t="s">
        <v>1338</v>
      </c>
      <c r="CA70" s="369" t="str">
        <f t="shared" si="13"/>
        <v>1611517</v>
      </c>
      <c r="CB70" s="243" t="s">
        <v>1386</v>
      </c>
      <c r="CC70" s="256"/>
      <c r="CD70" s="108"/>
      <c r="CE70" s="108"/>
      <c r="CF70" s="108"/>
      <c r="CG70" s="27"/>
      <c r="CH70" s="49" t="s">
        <v>448</v>
      </c>
      <c r="CI70" s="49" t="s">
        <v>63</v>
      </c>
      <c r="CJ70" s="49">
        <v>8</v>
      </c>
      <c r="CK70" s="49" t="s">
        <v>83</v>
      </c>
      <c r="CL70" s="49" t="s">
        <v>83</v>
      </c>
      <c r="CM70" s="49"/>
      <c r="CN70" s="49" t="s">
        <v>603</v>
      </c>
      <c r="CO70" s="50" t="s">
        <v>180</v>
      </c>
      <c r="CP70" s="51" t="str">
        <f>IF(CP68="","",IF(記入シート1!AN92="","",RIGHT("0000"&amp;記入シート1!AN92,4)&amp;RIGHT("00"&amp;記入シート1!AQ92,2)&amp;RIGHT("00"&amp;記入シート1!AS92,2)))</f>
        <v/>
      </c>
      <c r="CQ70" s="2"/>
      <c r="CR70" s="45"/>
      <c r="CS70" s="45"/>
      <c r="CT70" s="45"/>
      <c r="CU70" s="45"/>
      <c r="CV70" s="10"/>
      <c r="CW70" s="34" t="s">
        <v>54</v>
      </c>
      <c r="CX70" s="34" t="s">
        <v>90</v>
      </c>
      <c r="CY70" s="40" t="s">
        <v>746</v>
      </c>
      <c r="CZ70" s="41" t="s">
        <v>343</v>
      </c>
      <c r="DA70" s="40" t="s">
        <v>466</v>
      </c>
      <c r="DB70" s="34" t="str">
        <f t="shared" ref="DB70:DB95" si="15">LEFT(DC70,3)</f>
        <v>101</v>
      </c>
      <c r="DC70" s="81" t="s">
        <v>141</v>
      </c>
      <c r="DD70" s="96"/>
      <c r="DE70" s="87"/>
      <c r="DF70" s="64"/>
      <c r="DG70" s="64"/>
      <c r="DH70" s="436" t="s">
        <v>2150</v>
      </c>
      <c r="DI70" s="436" t="s">
        <v>3246</v>
      </c>
      <c r="DJ70" s="626"/>
      <c r="DK70" s="75" t="str">
        <f t="shared" si="14"/>
        <v>93201PW5</v>
      </c>
      <c r="DL70" s="78" t="s">
        <v>2063</v>
      </c>
      <c r="DM70" s="78" t="s">
        <v>3266</v>
      </c>
      <c r="DN70" s="692" t="str">
        <f>""</f>
        <v/>
      </c>
      <c r="DO70" s="30"/>
      <c r="DP70" s="30"/>
      <c r="DQ70" s="367"/>
      <c r="DR70" s="367"/>
      <c r="DS70" s="367"/>
      <c r="DT70" s="367"/>
      <c r="DU70" s="367"/>
      <c r="DV70" s="27"/>
      <c r="DX70" s="85"/>
      <c r="DY70" s="85"/>
    </row>
    <row r="71" spans="1:129" ht="19.5" customHeight="1" thickTop="1" thickBot="1">
      <c r="A71" s="354"/>
      <c r="B71" s="181"/>
      <c r="C71" s="2163" t="s">
        <v>3762</v>
      </c>
      <c r="D71" s="2164"/>
      <c r="E71" s="2164"/>
      <c r="F71" s="2164"/>
      <c r="G71" s="2164"/>
      <c r="H71" s="2164"/>
      <c r="I71" s="2165"/>
      <c r="J71" s="378"/>
      <c r="K71" s="378"/>
      <c r="L71" s="2033" t="s">
        <v>642</v>
      </c>
      <c r="M71" s="2034"/>
      <c r="N71" s="2035"/>
      <c r="O71" s="2110" t="s">
        <v>1071</v>
      </c>
      <c r="P71" s="2110"/>
      <c r="Q71" s="2029">
        <v>0</v>
      </c>
      <c r="R71" s="2029"/>
      <c r="S71" s="2029"/>
      <c r="T71" s="2029"/>
      <c r="U71" s="2054">
        <v>0</v>
      </c>
      <c r="V71" s="2054"/>
      <c r="W71" s="2054"/>
      <c r="X71" s="2054"/>
      <c r="Y71" s="2053">
        <v>0</v>
      </c>
      <c r="Z71" s="2053"/>
      <c r="AA71" s="2053"/>
      <c r="AB71" s="2053"/>
      <c r="AC71" s="2053">
        <v>0</v>
      </c>
      <c r="AD71" s="2053"/>
      <c r="AE71" s="2053"/>
      <c r="AF71" s="2053"/>
      <c r="AG71" s="2054">
        <v>0</v>
      </c>
      <c r="AH71" s="2054"/>
      <c r="AI71" s="2054"/>
      <c r="AJ71" s="2054"/>
      <c r="AK71" s="603"/>
      <c r="AL71" s="603"/>
      <c r="AM71" s="603"/>
      <c r="AN71" s="603"/>
      <c r="AO71" s="603"/>
      <c r="AP71" s="603"/>
      <c r="AQ71" s="603"/>
      <c r="AR71" s="603"/>
      <c r="AS71" s="603"/>
      <c r="AT71" s="865"/>
      <c r="AU71" s="171"/>
      <c r="AV71" s="151" t="b">
        <v>1</v>
      </c>
      <c r="AW71" s="387">
        <f>IF(AV71=TRUE,AV71*1,0)</f>
        <v>1</v>
      </c>
      <c r="AX71" s="387" t="s">
        <v>2157</v>
      </c>
      <c r="AY71" s="92" t="str">
        <f>TEXT(BR71,"000")</f>
        <v>942</v>
      </c>
      <c r="AZ71" s="92">
        <f>AW71</f>
        <v>1</v>
      </c>
      <c r="BA71" s="83" t="str">
        <f>IF(O71="2回入金","92",IF(O71="早期2回","R2",IF(O71="早期3回","R3",IF(O71="早期4回","R4",IF(O71="早期6回","R6","")))))</f>
        <v>92</v>
      </c>
      <c r="BB71" s="106" t="s">
        <v>995</v>
      </c>
      <c r="BC71" s="84" t="s">
        <v>2109</v>
      </c>
      <c r="BD71" s="83">
        <f>ROW(C71)</f>
        <v>71</v>
      </c>
      <c r="BE71" s="83">
        <f>IF(AY71&amp;BC71=AY70&amp;BC70,BE70+1,1)</f>
        <v>1</v>
      </c>
      <c r="BF71" s="610" t="str">
        <f>AY71&amp;BC71&amp;BE71</f>
        <v>942000001</v>
      </c>
      <c r="BG71" s="534"/>
      <c r="BH71" s="615"/>
      <c r="BI71" s="534" t="str">
        <f>BR71&amp;"01"</f>
        <v>94201</v>
      </c>
      <c r="BJ71" s="534">
        <f>IF(L71=$BC$2,1,0)</f>
        <v>1</v>
      </c>
      <c r="BK71" s="83">
        <f>AZ71</f>
        <v>1</v>
      </c>
      <c r="BL71" s="613">
        <f>IF(AW71=1,Q71,"")</f>
        <v>0</v>
      </c>
      <c r="BM71" s="613">
        <f>IF(AW71=1,U71,"")</f>
        <v>0</v>
      </c>
      <c r="BN71" s="614">
        <f>IF(AW71=0,"",Y71)</f>
        <v>0</v>
      </c>
      <c r="BO71" s="614">
        <f>IF(AW71=0,"",AC71)</f>
        <v>0</v>
      </c>
      <c r="BP71" s="613">
        <f>IF(AW71=0,"",AG71)</f>
        <v>0</v>
      </c>
      <c r="BR71" s="17">
        <v>942</v>
      </c>
      <c r="BT71" s="4"/>
      <c r="BU71" s="4"/>
      <c r="BV71" s="4"/>
      <c r="BW71" s="4"/>
      <c r="BZ71" s="369" t="s">
        <v>1339</v>
      </c>
      <c r="CA71" s="369" t="str">
        <f t="shared" si="13"/>
        <v>1611518</v>
      </c>
      <c r="CB71" s="243" t="s">
        <v>1387</v>
      </c>
      <c r="CC71" s="256"/>
      <c r="CD71" s="108"/>
      <c r="CE71" s="108"/>
      <c r="CF71" s="108"/>
      <c r="CG71" s="27"/>
      <c r="CH71" s="49" t="s">
        <v>886</v>
      </c>
      <c r="CI71" s="49" t="s">
        <v>21</v>
      </c>
      <c r="CJ71" s="49">
        <v>60</v>
      </c>
      <c r="CK71" s="49" t="s">
        <v>216</v>
      </c>
      <c r="CL71" s="49" t="s">
        <v>90</v>
      </c>
      <c r="CM71" s="49"/>
      <c r="CN71" s="49"/>
      <c r="CO71" s="50" t="s">
        <v>887</v>
      </c>
      <c r="CP71" s="51" t="str">
        <f>記入シート1!BD80</f>
        <v>：～：  休業日（）</v>
      </c>
      <c r="CQ71" s="2"/>
      <c r="CR71" s="45"/>
      <c r="CS71" s="45"/>
      <c r="CT71" s="45"/>
      <c r="CU71" s="45"/>
      <c r="CV71" s="10"/>
      <c r="CW71" s="34" t="s">
        <v>731</v>
      </c>
      <c r="CX71" s="34"/>
      <c r="CY71" s="40"/>
      <c r="CZ71" s="41"/>
      <c r="DA71" s="40"/>
      <c r="DB71" s="34" t="str">
        <f t="shared" si="15"/>
        <v>101</v>
      </c>
      <c r="DC71" s="81" t="s">
        <v>139</v>
      </c>
      <c r="DD71" s="96"/>
      <c r="DE71" s="87"/>
      <c r="DF71" s="64"/>
      <c r="DG71" s="64"/>
      <c r="DH71" s="436" t="s">
        <v>2150</v>
      </c>
      <c r="DI71" s="436" t="s">
        <v>3247</v>
      </c>
      <c r="DJ71" s="626"/>
      <c r="DK71" s="75" t="str">
        <f t="shared" si="14"/>
        <v>93201PW6</v>
      </c>
      <c r="DL71" s="78" t="s">
        <v>2063</v>
      </c>
      <c r="DM71" s="78" t="s">
        <v>3267</v>
      </c>
      <c r="DN71" s="692" t="str">
        <f>""</f>
        <v/>
      </c>
      <c r="DO71" s="30"/>
      <c r="DP71" s="30"/>
      <c r="DQ71" s="367"/>
      <c r="DR71" s="367"/>
      <c r="DS71" s="367"/>
      <c r="DT71" s="367"/>
      <c r="DU71" s="367"/>
      <c r="DV71" s="27"/>
      <c r="DX71" s="85"/>
      <c r="DY71" s="85"/>
    </row>
    <row r="72" spans="1:129" ht="19.5" customHeight="1" thickTop="1" thickBot="1">
      <c r="A72" s="354"/>
      <c r="B72" s="181"/>
      <c r="C72" s="2061"/>
      <c r="D72" s="2062"/>
      <c r="E72" s="2062"/>
      <c r="F72" s="2062"/>
      <c r="G72" s="2062"/>
      <c r="H72" s="2062"/>
      <c r="I72" s="2063"/>
      <c r="J72" s="2152" t="s">
        <v>3763</v>
      </c>
      <c r="K72" s="2153"/>
      <c r="L72" s="2153"/>
      <c r="M72" s="2153"/>
      <c r="N72" s="2154"/>
      <c r="O72" s="2465" t="s">
        <v>3666</v>
      </c>
      <c r="P72" s="2466"/>
      <c r="Q72" s="2466"/>
      <c r="R72" s="2466"/>
      <c r="S72" s="2466"/>
      <c r="T72" s="2466"/>
      <c r="U72" s="2466"/>
      <c r="V72" s="2466"/>
      <c r="W72" s="2466"/>
      <c r="X72" s="2466"/>
      <c r="Y72" s="2494" t="s">
        <v>3764</v>
      </c>
      <c r="Z72" s="2495"/>
      <c r="AA72" s="2495"/>
      <c r="AB72" s="2496"/>
      <c r="AC72" s="820"/>
      <c r="AD72" s="2495" t="s">
        <v>3765</v>
      </c>
      <c r="AE72" s="2495"/>
      <c r="AF72" s="2495"/>
      <c r="AG72" s="820"/>
      <c r="AH72" s="820"/>
      <c r="AI72" s="2495" t="s">
        <v>3766</v>
      </c>
      <c r="AJ72" s="2495"/>
      <c r="AK72" s="2495"/>
      <c r="AL72" s="2495"/>
      <c r="AM72" s="2495"/>
      <c r="AN72" s="730"/>
      <c r="AO72" s="730"/>
      <c r="AP72" s="2497" t="s">
        <v>3767</v>
      </c>
      <c r="AQ72" s="2497"/>
      <c r="AR72" s="730"/>
      <c r="AS72" s="730"/>
      <c r="AT72" s="609"/>
      <c r="AU72" s="171"/>
      <c r="AV72" s="151" t="str">
        <f>LEFT(O72,5)</f>
        <v>05:家具</v>
      </c>
      <c r="AW72" s="536">
        <v>1</v>
      </c>
      <c r="AX72" s="536">
        <v>1</v>
      </c>
      <c r="AY72" s="684" t="str">
        <f>IF(AV71=TRUE,IF(AND(AX72&lt;&gt;0,AV72&lt;&gt;"00000",AV73&lt;&gt;"00000",LEFT(AV72,2)=LEFT(AV73,2)),"OK","NG"),"OK")</f>
        <v>NG</v>
      </c>
      <c r="AZ72" s="684" t="s">
        <v>3196</v>
      </c>
      <c r="BA72" s="673"/>
      <c r="BB72" s="673"/>
      <c r="BC72" s="673"/>
      <c r="BD72" s="673"/>
      <c r="BE72" s="673"/>
      <c r="BF72" s="675"/>
      <c r="BG72" s="676"/>
      <c r="BH72" s="677"/>
      <c r="BI72" s="676"/>
      <c r="BJ72" s="676"/>
      <c r="BK72" s="673"/>
      <c r="BL72" s="678"/>
      <c r="BM72" s="678"/>
      <c r="BN72" s="679"/>
      <c r="BO72" s="679"/>
      <c r="BP72" s="678"/>
      <c r="BR72" s="673"/>
      <c r="BT72" s="4"/>
      <c r="BU72" s="4"/>
      <c r="BV72" s="4"/>
      <c r="BW72" s="4"/>
      <c r="BZ72" s="369" t="s">
        <v>1340</v>
      </c>
      <c r="CA72" s="369" t="str">
        <f t="shared" si="13"/>
        <v>1611519</v>
      </c>
      <c r="CB72" s="243" t="s">
        <v>1388</v>
      </c>
      <c r="CC72" s="256"/>
      <c r="CD72" s="108"/>
      <c r="CE72" s="108"/>
      <c r="CF72" s="108"/>
      <c r="CG72" s="27"/>
      <c r="CH72" s="59" t="s">
        <v>608</v>
      </c>
      <c r="CI72" s="59"/>
      <c r="CJ72" s="59"/>
      <c r="CK72" s="59"/>
      <c r="CL72" s="59"/>
      <c r="CM72" s="59"/>
      <c r="CN72" s="59"/>
      <c r="CO72" s="10"/>
      <c r="CP72" s="10"/>
      <c r="CQ72" s="2"/>
      <c r="CR72" s="45"/>
      <c r="CS72" s="45"/>
      <c r="CT72" s="45"/>
      <c r="CU72" s="45"/>
      <c r="CV72" s="10"/>
      <c r="CW72" s="34" t="s">
        <v>136</v>
      </c>
      <c r="CX72" s="34" t="s">
        <v>698</v>
      </c>
      <c r="CY72" s="40" t="s">
        <v>736</v>
      </c>
      <c r="CZ72" s="41" t="s">
        <v>343</v>
      </c>
      <c r="DA72" s="40"/>
      <c r="DB72" s="34" t="str">
        <f t="shared" si="15"/>
        <v>101</v>
      </c>
      <c r="DC72" s="81" t="s">
        <v>137</v>
      </c>
      <c r="DD72" s="96"/>
      <c r="DE72" s="87"/>
      <c r="DF72" s="64"/>
      <c r="DG72" s="64"/>
      <c r="DH72" s="436" t="s">
        <v>2150</v>
      </c>
      <c r="DI72" s="436" t="s">
        <v>3251</v>
      </c>
      <c r="DJ72" s="626"/>
      <c r="DK72" s="75" t="str">
        <f t="shared" si="14"/>
        <v>93201PW7</v>
      </c>
      <c r="DL72" s="78" t="s">
        <v>2063</v>
      </c>
      <c r="DM72" s="78" t="s">
        <v>3268</v>
      </c>
      <c r="DN72" s="692" t="str">
        <f>""</f>
        <v/>
      </c>
      <c r="DO72" s="30"/>
      <c r="DP72" s="30"/>
      <c r="DQ72" s="367"/>
      <c r="DR72" s="367"/>
      <c r="DS72" s="367"/>
      <c r="DT72" s="367"/>
      <c r="DU72" s="367"/>
      <c r="DV72" s="27"/>
      <c r="DX72" s="85"/>
      <c r="DY72" s="85"/>
    </row>
    <row r="73" spans="1:129" ht="19.5" hidden="1" customHeight="1">
      <c r="A73" s="354"/>
      <c r="B73" s="181"/>
      <c r="C73" s="843"/>
      <c r="D73" s="844"/>
      <c r="E73" s="844"/>
      <c r="F73" s="844"/>
      <c r="G73" s="844"/>
      <c r="H73" s="844"/>
      <c r="I73" s="845"/>
      <c r="J73" s="809"/>
      <c r="K73" s="810"/>
      <c r="L73" s="810"/>
      <c r="M73" s="810"/>
      <c r="N73" s="811"/>
      <c r="O73" s="812"/>
      <c r="P73" s="813"/>
      <c r="Q73" s="813"/>
      <c r="R73" s="813"/>
      <c r="S73" s="812"/>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c r="AT73" s="814"/>
      <c r="AU73" s="686"/>
      <c r="AV73" s="386" t="str">
        <f>LEFT(AA72,5)</f>
        <v/>
      </c>
      <c r="AW73" s="20" t="e">
        <f>MID(AA72,7,LEN(AA72)-6)</f>
        <v>#VALUE!</v>
      </c>
      <c r="BA73" s="10"/>
      <c r="BB73" s="10"/>
      <c r="BC73" s="10"/>
      <c r="BD73" s="10"/>
      <c r="BE73" s="10"/>
      <c r="BF73" s="10"/>
      <c r="BG73" s="10"/>
      <c r="BH73" s="10"/>
      <c r="BI73" s="10"/>
      <c r="BJ73" s="10"/>
      <c r="BK73" s="10"/>
      <c r="BL73" s="682"/>
      <c r="BM73" s="682"/>
      <c r="BN73" s="10"/>
      <c r="BO73" s="10"/>
      <c r="BP73" s="10"/>
      <c r="BQ73" s="10"/>
      <c r="BR73" s="10"/>
      <c r="BT73" s="4"/>
      <c r="BU73" s="4"/>
      <c r="BV73" s="4"/>
      <c r="BW73" s="4"/>
      <c r="BZ73" s="369" t="s">
        <v>1341</v>
      </c>
      <c r="CA73" s="369" t="str">
        <f t="shared" si="13"/>
        <v>1611520</v>
      </c>
      <c r="CB73" s="243" t="s">
        <v>1389</v>
      </c>
      <c r="CC73" s="256"/>
      <c r="CD73" s="108"/>
      <c r="CE73" s="108"/>
      <c r="CF73" s="108"/>
      <c r="CG73" s="27"/>
      <c r="CH73" s="46" t="s">
        <v>323</v>
      </c>
      <c r="CI73" s="47" t="s">
        <v>322</v>
      </c>
      <c r="CJ73" s="47" t="s">
        <v>321</v>
      </c>
      <c r="CK73" s="46" t="s">
        <v>320</v>
      </c>
      <c r="CL73" s="46" t="s">
        <v>320</v>
      </c>
      <c r="CM73" s="46" t="s">
        <v>319</v>
      </c>
      <c r="CN73" s="46"/>
      <c r="CO73" s="46" t="s">
        <v>376</v>
      </c>
      <c r="CP73" s="46" t="s">
        <v>328</v>
      </c>
      <c r="CQ73" s="2"/>
      <c r="CR73" s="45"/>
      <c r="CS73" s="45"/>
      <c r="CT73" s="45"/>
      <c r="CU73" s="45"/>
      <c r="CV73" s="10"/>
      <c r="CW73" s="34" t="s">
        <v>732</v>
      </c>
      <c r="CX73" s="34"/>
      <c r="CY73" s="40"/>
      <c r="CZ73" s="41"/>
      <c r="DA73" s="40"/>
      <c r="DB73" s="34" t="str">
        <f t="shared" si="15"/>
        <v>101</v>
      </c>
      <c r="DC73" s="81" t="s">
        <v>134</v>
      </c>
      <c r="DD73" s="96"/>
      <c r="DE73" s="87"/>
      <c r="DF73" s="64"/>
      <c r="DG73" s="64"/>
      <c r="DH73" s="436" t="s">
        <v>2150</v>
      </c>
      <c r="DI73" s="436" t="s">
        <v>3264</v>
      </c>
      <c r="DJ73" s="626"/>
      <c r="DK73" s="75" t="str">
        <f t="shared" si="14"/>
        <v>93201PW8</v>
      </c>
      <c r="DL73" s="78" t="s">
        <v>2063</v>
      </c>
      <c r="DM73" s="78" t="s">
        <v>3269</v>
      </c>
      <c r="DN73" s="692" t="str">
        <f>""</f>
        <v/>
      </c>
      <c r="DO73" s="30"/>
      <c r="DP73" s="30"/>
      <c r="DQ73" s="367"/>
      <c r="DR73" s="367"/>
      <c r="DS73" s="367"/>
      <c r="DT73" s="367"/>
      <c r="DU73" s="367"/>
      <c r="DV73" s="27"/>
      <c r="DX73" s="85"/>
      <c r="DY73" s="85"/>
    </row>
    <row r="74" spans="1:129" ht="19.5" hidden="1" customHeight="1" thickBot="1">
      <c r="A74" s="354"/>
      <c r="B74" s="181"/>
      <c r="C74" s="846"/>
      <c r="D74" s="847"/>
      <c r="E74" s="847"/>
      <c r="F74" s="847"/>
      <c r="G74" s="847"/>
      <c r="H74" s="847"/>
      <c r="I74" s="848"/>
      <c r="J74" s="325"/>
      <c r="K74" s="326"/>
      <c r="L74" s="815"/>
      <c r="M74" s="815"/>
      <c r="N74" s="816"/>
      <c r="O74" s="685"/>
      <c r="P74" s="817"/>
      <c r="Q74" s="817"/>
      <c r="R74" s="817"/>
      <c r="S74" s="818"/>
      <c r="T74" s="817"/>
      <c r="U74" s="817"/>
      <c r="V74" s="817"/>
      <c r="W74" s="817"/>
      <c r="X74" s="817"/>
      <c r="Y74" s="817"/>
      <c r="Z74" s="817"/>
      <c r="AA74" s="817"/>
      <c r="AB74" s="817"/>
      <c r="AC74" s="817"/>
      <c r="AD74" s="817"/>
      <c r="AE74" s="817"/>
      <c r="AF74" s="817"/>
      <c r="AG74" s="817"/>
      <c r="AH74" s="817"/>
      <c r="AI74" s="817"/>
      <c r="AJ74" s="817"/>
      <c r="AK74" s="817"/>
      <c r="AL74" s="817"/>
      <c r="AM74" s="817"/>
      <c r="AN74" s="817"/>
      <c r="AO74" s="817"/>
      <c r="AP74" s="817"/>
      <c r="AQ74" s="817"/>
      <c r="AR74" s="817"/>
      <c r="AS74" s="817"/>
      <c r="AT74" s="819"/>
      <c r="AU74" s="686"/>
      <c r="AV74" s="386"/>
      <c r="AW74" s="670"/>
      <c r="AX74" s="670"/>
      <c r="AY74" s="670"/>
      <c r="AZ74" s="670"/>
      <c r="BA74" s="671"/>
      <c r="BB74" s="671"/>
      <c r="BC74" s="671"/>
      <c r="BD74" s="671"/>
      <c r="BE74" s="671"/>
      <c r="BF74" s="671"/>
      <c r="BG74" s="671"/>
      <c r="BH74" s="671"/>
      <c r="BI74" s="671"/>
      <c r="BJ74" s="671"/>
      <c r="BK74" s="671"/>
      <c r="BL74" s="672"/>
      <c r="BM74" s="672"/>
      <c r="BN74" s="671"/>
      <c r="BO74" s="671"/>
      <c r="BP74" s="671"/>
      <c r="BQ74" s="671"/>
      <c r="BR74" s="671"/>
      <c r="BT74" s="4"/>
      <c r="BU74" s="4"/>
      <c r="BV74" s="4"/>
      <c r="BW74" s="4"/>
      <c r="BZ74" s="369" t="s">
        <v>1342</v>
      </c>
      <c r="CA74" s="369" t="str">
        <f t="shared" si="13"/>
        <v>1611521</v>
      </c>
      <c r="CB74" s="243" t="s">
        <v>1390</v>
      </c>
      <c r="CD74" s="108"/>
      <c r="CE74" s="108"/>
      <c r="CF74" s="108"/>
      <c r="CG74" s="27"/>
      <c r="CH74" s="49" t="s">
        <v>173</v>
      </c>
      <c r="CI74" s="49" t="s">
        <v>21</v>
      </c>
      <c r="CJ74" s="49">
        <v>30</v>
      </c>
      <c r="CK74" s="49" t="s">
        <v>90</v>
      </c>
      <c r="CL74" s="49" t="s">
        <v>90</v>
      </c>
      <c r="CM74" s="49"/>
      <c r="CN74" s="49"/>
      <c r="CO74" s="50" t="s">
        <v>172</v>
      </c>
      <c r="CP74" s="51" t="str">
        <f>T(記入シート1!I104)</f>
        <v/>
      </c>
      <c r="CQ74" s="2"/>
      <c r="CR74" s="45"/>
      <c r="CS74" s="45"/>
      <c r="CT74" s="45"/>
      <c r="CU74" s="45"/>
      <c r="CV74" s="10"/>
      <c r="CW74" s="34" t="s">
        <v>132</v>
      </c>
      <c r="CX74" s="34" t="s">
        <v>698</v>
      </c>
      <c r="CY74" s="40" t="s">
        <v>747</v>
      </c>
      <c r="CZ74" s="41" t="s">
        <v>342</v>
      </c>
      <c r="DA74" s="40"/>
      <c r="DB74" s="34" t="str">
        <f t="shared" si="15"/>
        <v>101</v>
      </c>
      <c r="DC74" s="81" t="s">
        <v>133</v>
      </c>
      <c r="DD74" s="96"/>
      <c r="DE74" s="87"/>
      <c r="DF74" s="64"/>
      <c r="DG74" s="64"/>
      <c r="DH74" s="436" t="s">
        <v>2150</v>
      </c>
      <c r="DI74" s="436" t="s">
        <v>3270</v>
      </c>
      <c r="DJ74" s="626"/>
      <c r="DK74" s="75" t="str">
        <f t="shared" si="14"/>
        <v>93201PW9</v>
      </c>
      <c r="DL74" s="78" t="s">
        <v>2063</v>
      </c>
      <c r="DM74" s="78" t="s">
        <v>3271</v>
      </c>
      <c r="DN74" s="627" t="str">
        <f>"+81"&amp;MID(SUBSTITUTE(ASC(CP22),"-",""),2,15)</f>
        <v>+81</v>
      </c>
      <c r="DO74" s="30"/>
      <c r="DP74" s="30"/>
      <c r="DQ74" s="367"/>
      <c r="DR74" s="367"/>
      <c r="DS74" s="367"/>
      <c r="DT74" s="367"/>
      <c r="DU74" s="367"/>
      <c r="DV74" s="27"/>
      <c r="DX74" s="85"/>
      <c r="DY74" s="85"/>
    </row>
    <row r="75" spans="1:129" ht="19.5" customHeight="1" thickTop="1" thickBot="1">
      <c r="A75" s="354"/>
      <c r="B75" s="181"/>
      <c r="C75" s="1621" t="s">
        <v>3400</v>
      </c>
      <c r="D75" s="1622"/>
      <c r="E75" s="1622"/>
      <c r="F75" s="1622"/>
      <c r="G75" s="1622"/>
      <c r="H75" s="1622"/>
      <c r="I75" s="2014"/>
      <c r="J75" s="130"/>
      <c r="K75" s="130"/>
      <c r="L75" s="2033" t="s">
        <v>642</v>
      </c>
      <c r="M75" s="2034"/>
      <c r="N75" s="2035"/>
      <c r="O75" s="2468" t="s">
        <v>1071</v>
      </c>
      <c r="P75" s="2468"/>
      <c r="Q75" s="2029">
        <v>0</v>
      </c>
      <c r="R75" s="2029"/>
      <c r="S75" s="2029"/>
      <c r="T75" s="2029"/>
      <c r="U75" s="2029">
        <v>0</v>
      </c>
      <c r="V75" s="2029"/>
      <c r="W75" s="2029"/>
      <c r="X75" s="2029"/>
      <c r="Y75" s="2479">
        <v>0</v>
      </c>
      <c r="Z75" s="2479"/>
      <c r="AA75" s="2479"/>
      <c r="AB75" s="2479"/>
      <c r="AC75" s="2479">
        <v>0</v>
      </c>
      <c r="AD75" s="2479"/>
      <c r="AE75" s="2479"/>
      <c r="AF75" s="2479"/>
      <c r="AG75" s="2029">
        <v>0</v>
      </c>
      <c r="AH75" s="2029"/>
      <c r="AI75" s="2029"/>
      <c r="AJ75" s="2029"/>
      <c r="AK75" s="706"/>
      <c r="AL75" s="706"/>
      <c r="AM75" s="706"/>
      <c r="AN75" s="706"/>
      <c r="AO75" s="706"/>
      <c r="AP75" s="706"/>
      <c r="AQ75" s="706"/>
      <c r="AR75" s="707" t="s">
        <v>3401</v>
      </c>
      <c r="AS75" s="2463" t="s">
        <v>3356</v>
      </c>
      <c r="AT75" s="2464"/>
      <c r="AU75" s="171"/>
      <c r="AV75" s="386" t="b">
        <v>1</v>
      </c>
      <c r="AW75" s="387"/>
      <c r="AX75" s="387"/>
      <c r="AY75" s="387"/>
      <c r="AZ75" s="387"/>
      <c r="BA75" s="83"/>
      <c r="BB75" s="83"/>
      <c r="BC75" s="83"/>
      <c r="BD75" s="83"/>
      <c r="BE75" s="83"/>
      <c r="BF75" s="83"/>
      <c r="BG75" s="83"/>
      <c r="BH75" s="83"/>
      <c r="BI75" s="83"/>
      <c r="BJ75" s="83"/>
      <c r="BK75" s="83"/>
      <c r="BL75" s="628"/>
      <c r="BM75" s="628"/>
      <c r="BN75" s="83"/>
      <c r="BO75" s="83"/>
      <c r="BP75" s="83"/>
      <c r="BQ75" s="83"/>
      <c r="BR75" s="83"/>
      <c r="BT75" s="4"/>
      <c r="BU75" s="4"/>
      <c r="BV75" s="4"/>
      <c r="BW75" s="4"/>
      <c r="BZ75" s="369" t="s">
        <v>1343</v>
      </c>
      <c r="CA75" s="369" t="str">
        <f t="shared" si="13"/>
        <v>1612020</v>
      </c>
      <c r="CB75" s="82" t="s">
        <v>1391</v>
      </c>
      <c r="CD75" s="108"/>
      <c r="CE75" s="108"/>
      <c r="CF75" s="108"/>
      <c r="CG75" s="27"/>
      <c r="CH75" s="49" t="s">
        <v>475</v>
      </c>
      <c r="CI75" s="49" t="s">
        <v>63</v>
      </c>
      <c r="CJ75" s="49">
        <v>1</v>
      </c>
      <c r="CK75" s="49" t="s">
        <v>90</v>
      </c>
      <c r="CL75" s="49" t="s">
        <v>90</v>
      </c>
      <c r="CM75" s="49" t="s">
        <v>476</v>
      </c>
      <c r="CN75" s="49"/>
      <c r="CO75" s="50" t="s">
        <v>169</v>
      </c>
      <c r="CP75" s="51">
        <f>記入シート1!AV104</f>
        <v>0</v>
      </c>
      <c r="CQ75" s="2"/>
      <c r="CR75" s="45"/>
      <c r="CS75" s="45"/>
      <c r="CT75" s="45"/>
      <c r="CU75" s="45"/>
      <c r="CV75" s="10"/>
      <c r="CW75" s="34" t="s">
        <v>129</v>
      </c>
      <c r="CX75" s="34" t="s">
        <v>698</v>
      </c>
      <c r="CY75" s="40"/>
      <c r="CZ75" s="40" t="s">
        <v>359</v>
      </c>
      <c r="DA75" s="40" t="s">
        <v>756</v>
      </c>
      <c r="DB75" s="34" t="str">
        <f t="shared" si="15"/>
        <v>101</v>
      </c>
      <c r="DC75" s="81" t="s">
        <v>130</v>
      </c>
      <c r="DD75" s="96"/>
      <c r="DE75" s="87"/>
      <c r="DF75" s="64"/>
      <c r="DG75" s="64"/>
      <c r="DH75" s="436" t="s">
        <v>938</v>
      </c>
      <c r="DI75" s="436" t="s">
        <v>2172</v>
      </c>
      <c r="DJ75" s="626"/>
      <c r="DK75" s="75" t="str">
        <f t="shared" si="14"/>
        <v>93501PZ4</v>
      </c>
      <c r="DL75" s="78" t="s">
        <v>2183</v>
      </c>
      <c r="DM75" s="78" t="s">
        <v>2184</v>
      </c>
      <c r="DN75" s="627" t="str">
        <f>ASC(記入シート1!AW73)</f>
        <v/>
      </c>
      <c r="DO75" s="30"/>
      <c r="DP75" s="30"/>
      <c r="DQ75" s="367"/>
      <c r="DR75" s="367"/>
      <c r="DS75" s="367"/>
      <c r="DT75" s="367"/>
      <c r="DU75" s="367"/>
      <c r="DV75" s="27"/>
      <c r="DX75" s="85"/>
      <c r="DY75" s="85"/>
    </row>
    <row r="76" spans="1:129" ht="19.5" customHeight="1" thickTop="1" thickBot="1">
      <c r="A76" s="354"/>
      <c r="B76" s="181"/>
      <c r="C76" s="1623"/>
      <c r="D76" s="1624"/>
      <c r="E76" s="1624"/>
      <c r="F76" s="1624"/>
      <c r="G76" s="1624"/>
      <c r="H76" s="1624"/>
      <c r="I76" s="2015"/>
      <c r="J76" s="2469" t="s">
        <v>1028</v>
      </c>
      <c r="K76" s="2470"/>
      <c r="L76" s="2153"/>
      <c r="M76" s="2153"/>
      <c r="N76" s="2154"/>
      <c r="O76" s="2471" t="s">
        <v>3402</v>
      </c>
      <c r="P76" s="2472"/>
      <c r="Q76" s="2472"/>
      <c r="R76" s="2472"/>
      <c r="S76" s="2472"/>
      <c r="T76" s="2472"/>
      <c r="U76" s="2472"/>
      <c r="V76" s="2472"/>
      <c r="W76" s="2472"/>
      <c r="X76" s="2473"/>
      <c r="Y76" s="2474" t="s">
        <v>2999</v>
      </c>
      <c r="Z76" s="2475"/>
      <c r="AA76" s="2476" t="s">
        <v>3404</v>
      </c>
      <c r="AB76" s="2477"/>
      <c r="AC76" s="2477"/>
      <c r="AD76" s="2477"/>
      <c r="AE76" s="2477"/>
      <c r="AF76" s="2477"/>
      <c r="AG76" s="2477"/>
      <c r="AH76" s="2477"/>
      <c r="AI76" s="2477"/>
      <c r="AJ76" s="2477"/>
      <c r="AK76" s="2477"/>
      <c r="AL76" s="2478"/>
      <c r="AM76" s="685"/>
      <c r="AN76" s="685"/>
      <c r="AO76" s="685"/>
      <c r="AP76" s="685"/>
      <c r="AQ76" s="685"/>
      <c r="AR76" s="685"/>
      <c r="AS76" s="685"/>
      <c r="AT76" s="708"/>
      <c r="AU76" s="171"/>
      <c r="AV76" s="386"/>
      <c r="AW76" s="387"/>
      <c r="AX76" s="387"/>
      <c r="AY76" s="387"/>
      <c r="AZ76" s="387"/>
      <c r="BA76" s="83"/>
      <c r="BB76" s="83"/>
      <c r="BC76" s="83"/>
      <c r="BD76" s="83"/>
      <c r="BE76" s="83"/>
      <c r="BF76" s="83"/>
      <c r="BG76" s="83"/>
      <c r="BH76" s="83"/>
      <c r="BI76" s="83"/>
      <c r="BJ76" s="83"/>
      <c r="BK76" s="83"/>
      <c r="BL76" s="628"/>
      <c r="BM76" s="628"/>
      <c r="BN76" s="83"/>
      <c r="BO76" s="83"/>
      <c r="BP76" s="83"/>
      <c r="BQ76" s="83"/>
      <c r="BR76" s="83"/>
      <c r="BT76" s="4"/>
      <c r="BU76" s="4"/>
      <c r="BV76" s="4"/>
      <c r="BW76" s="4"/>
      <c r="BZ76" s="369" t="s">
        <v>1344</v>
      </c>
      <c r="CA76" s="369" t="str">
        <f t="shared" si="13"/>
        <v>1612406</v>
      </c>
      <c r="CB76" s="243" t="s">
        <v>1392</v>
      </c>
      <c r="CD76" s="108"/>
      <c r="CE76" s="108"/>
      <c r="CF76" s="108"/>
      <c r="CG76" s="27"/>
      <c r="CH76" s="49" t="s">
        <v>478</v>
      </c>
      <c r="CI76" s="49" t="s">
        <v>152</v>
      </c>
      <c r="CJ76" s="49">
        <v>30</v>
      </c>
      <c r="CK76" s="49" t="s">
        <v>90</v>
      </c>
      <c r="CL76" s="49" t="s">
        <v>90</v>
      </c>
      <c r="CM76" s="49"/>
      <c r="CN76" s="49"/>
      <c r="CO76" s="50" t="s">
        <v>164</v>
      </c>
      <c r="CP76" s="51" t="str">
        <f>T(記入シート1!AG104)</f>
        <v/>
      </c>
      <c r="CQ76" s="2"/>
      <c r="CR76" s="45"/>
      <c r="CS76" s="45"/>
      <c r="CT76" s="45"/>
      <c r="CU76" s="45"/>
      <c r="CV76" s="10"/>
      <c r="CW76" s="34" t="s">
        <v>126</v>
      </c>
      <c r="CX76" s="34" t="s">
        <v>698</v>
      </c>
      <c r="CY76" s="40"/>
      <c r="CZ76" s="40" t="s">
        <v>359</v>
      </c>
      <c r="DA76" s="40" t="s">
        <v>756</v>
      </c>
      <c r="DB76" s="34" t="str">
        <f t="shared" si="15"/>
        <v>101</v>
      </c>
      <c r="DC76" s="81" t="s">
        <v>127</v>
      </c>
      <c r="DD76" s="96"/>
      <c r="DE76" s="87"/>
      <c r="DF76" s="64"/>
      <c r="DG76" s="64"/>
      <c r="DH76" s="436" t="s">
        <v>938</v>
      </c>
      <c r="DI76" s="436" t="s">
        <v>2171</v>
      </c>
      <c r="DJ76" s="626"/>
      <c r="DK76" s="75" t="str">
        <f t="shared" si="14"/>
        <v>93501PZ5</v>
      </c>
      <c r="DL76" s="78" t="s">
        <v>2183</v>
      </c>
      <c r="DM76" s="78" t="s">
        <v>2185</v>
      </c>
      <c r="DN76" s="627" t="str">
        <f>"6"</f>
        <v>6</v>
      </c>
      <c r="DO76" s="30"/>
      <c r="DP76" s="30"/>
      <c r="DQ76" s="367"/>
      <c r="DR76" s="367"/>
      <c r="DS76" s="367"/>
      <c r="DT76" s="367"/>
      <c r="DU76" s="367"/>
      <c r="DV76" s="27"/>
      <c r="DX76" s="85"/>
      <c r="DY76" s="85"/>
    </row>
    <row r="77" spans="1:129" ht="19.5" hidden="1" customHeight="1" thickBot="1">
      <c r="A77" s="354"/>
      <c r="B77" s="181"/>
      <c r="C77" s="1997"/>
      <c r="D77" s="1467"/>
      <c r="E77" s="1467"/>
      <c r="F77" s="1467"/>
      <c r="G77" s="1467"/>
      <c r="H77" s="1467"/>
      <c r="I77" s="1469"/>
      <c r="J77" s="1678" t="s">
        <v>3769</v>
      </c>
      <c r="K77" s="1632"/>
      <c r="L77" s="2016"/>
      <c r="M77" s="2016"/>
      <c r="N77" s="2017"/>
      <c r="O77" s="821"/>
      <c r="P77" s="2462" t="s">
        <v>3770</v>
      </c>
      <c r="Q77" s="2462"/>
      <c r="R77" s="2462"/>
      <c r="S77" s="2462"/>
      <c r="T77" s="821"/>
      <c r="U77" s="2462" t="s">
        <v>2075</v>
      </c>
      <c r="V77" s="2462"/>
      <c r="W77" s="2462"/>
      <c r="X77" s="2467"/>
      <c r="Y77" s="822"/>
      <c r="Z77" s="823"/>
      <c r="AA77" s="823"/>
      <c r="AB77" s="823"/>
      <c r="AC77" s="823"/>
      <c r="AD77" s="823"/>
      <c r="AE77" s="823"/>
      <c r="AF77" s="823"/>
      <c r="AG77" s="823"/>
      <c r="AH77" s="823"/>
      <c r="AI77" s="823"/>
      <c r="AJ77" s="823"/>
      <c r="AK77" s="823"/>
      <c r="AL77" s="823"/>
      <c r="AM77" s="823"/>
      <c r="AN77" s="823"/>
      <c r="AO77" s="823"/>
      <c r="AP77" s="823"/>
      <c r="AQ77" s="823"/>
      <c r="AR77" s="823"/>
      <c r="AS77" s="823"/>
      <c r="AT77" s="824"/>
      <c r="AU77" s="171"/>
      <c r="AV77" s="386"/>
      <c r="AW77" s="387"/>
      <c r="AX77" s="387"/>
      <c r="AY77" s="387">
        <v>1</v>
      </c>
      <c r="AZ77" s="387"/>
      <c r="BA77" s="83"/>
      <c r="BB77" s="83"/>
      <c r="BC77" s="83"/>
      <c r="BD77" s="83"/>
      <c r="BE77" s="83"/>
      <c r="BF77" s="83"/>
      <c r="BG77" s="83"/>
      <c r="BH77" s="83"/>
      <c r="BI77" s="83"/>
      <c r="BJ77" s="83"/>
      <c r="BK77" s="83"/>
      <c r="BL77" s="628"/>
      <c r="BM77" s="628"/>
      <c r="BN77" s="83"/>
      <c r="BO77" s="83"/>
      <c r="BP77" s="83"/>
      <c r="BQ77" s="83"/>
      <c r="BR77" s="83"/>
      <c r="BT77" s="4"/>
      <c r="BU77" s="4"/>
      <c r="BV77" s="4"/>
      <c r="BW77" s="4"/>
      <c r="BZ77" s="369" t="s">
        <v>1345</v>
      </c>
      <c r="CA77" s="369" t="str">
        <f t="shared" si="13"/>
        <v>1613162</v>
      </c>
      <c r="CB77" s="243" t="s">
        <v>1393</v>
      </c>
      <c r="CD77" s="108"/>
      <c r="CE77" s="108"/>
      <c r="CF77" s="108"/>
      <c r="CG77" s="27"/>
      <c r="CH77" s="49" t="s">
        <v>161</v>
      </c>
      <c r="CI77" s="49" t="s">
        <v>63</v>
      </c>
      <c r="CJ77" s="49">
        <v>1</v>
      </c>
      <c r="CK77" s="49" t="s">
        <v>90</v>
      </c>
      <c r="CL77" s="49" t="s">
        <v>90</v>
      </c>
      <c r="CM77" s="49" t="s">
        <v>479</v>
      </c>
      <c r="CN77" s="49"/>
      <c r="CO77" s="50" t="s">
        <v>160</v>
      </c>
      <c r="CP77" s="51">
        <f>記入シート1!AV105</f>
        <v>0</v>
      </c>
      <c r="CQ77" s="2"/>
      <c r="CR77" s="45"/>
      <c r="CS77" s="45"/>
      <c r="CT77" s="45"/>
      <c r="CU77" s="45"/>
      <c r="CV77" s="10"/>
      <c r="CW77" s="34" t="s">
        <v>18</v>
      </c>
      <c r="CX77" s="34"/>
      <c r="CY77" s="40" t="s">
        <v>736</v>
      </c>
      <c r="CZ77" s="41" t="s">
        <v>349</v>
      </c>
      <c r="DA77" s="40"/>
      <c r="DB77" s="34" t="str">
        <f t="shared" si="15"/>
        <v>102</v>
      </c>
      <c r="DC77" s="102">
        <v>102001</v>
      </c>
      <c r="DD77" s="96"/>
      <c r="DE77" s="87"/>
      <c r="DF77" s="64"/>
      <c r="DG77" s="64"/>
      <c r="DH77" s="436" t="s">
        <v>938</v>
      </c>
      <c r="DI77" s="436" t="s">
        <v>3245</v>
      </c>
      <c r="DJ77" s="626"/>
      <c r="DK77" s="75" t="str">
        <f t="shared" si="14"/>
        <v>93501PZ6</v>
      </c>
      <c r="DL77" s="78" t="s">
        <v>2183</v>
      </c>
      <c r="DM77" s="78" t="s">
        <v>3274</v>
      </c>
      <c r="DN77" s="692" t="str">
        <f>""</f>
        <v/>
      </c>
      <c r="DO77" s="30"/>
      <c r="DP77" s="30"/>
      <c r="DQ77" s="367"/>
      <c r="DR77" s="367"/>
      <c r="DS77" s="367"/>
      <c r="DT77" s="367"/>
      <c r="DU77" s="367"/>
      <c r="DV77" s="27"/>
      <c r="DX77" s="85"/>
      <c r="DY77" s="85"/>
    </row>
    <row r="78" spans="1:129" ht="19.5" customHeight="1" thickTop="1" thickBot="1">
      <c r="A78" s="354"/>
      <c r="B78" s="181"/>
      <c r="C78" s="1621" t="s">
        <v>3768</v>
      </c>
      <c r="D78" s="1622"/>
      <c r="E78" s="1622"/>
      <c r="F78" s="1622"/>
      <c r="G78" s="1622"/>
      <c r="H78" s="1622"/>
      <c r="I78" s="2014"/>
      <c r="J78" s="834"/>
      <c r="K78" s="781"/>
      <c r="L78" s="2033" t="s">
        <v>642</v>
      </c>
      <c r="M78" s="2034"/>
      <c r="N78" s="2035"/>
      <c r="O78" s="2036" t="s">
        <v>1071</v>
      </c>
      <c r="P78" s="2036"/>
      <c r="Q78" s="2029">
        <v>0</v>
      </c>
      <c r="R78" s="2029"/>
      <c r="S78" s="2029"/>
      <c r="T78" s="2029"/>
      <c r="U78" s="2029">
        <v>0</v>
      </c>
      <c r="V78" s="2029"/>
      <c r="W78" s="2029"/>
      <c r="X78" s="2029"/>
      <c r="Y78" s="2053">
        <v>0</v>
      </c>
      <c r="Z78" s="2053"/>
      <c r="AA78" s="2053"/>
      <c r="AB78" s="2053"/>
      <c r="AC78" s="2053">
        <v>0</v>
      </c>
      <c r="AD78" s="2053"/>
      <c r="AE78" s="2053"/>
      <c r="AF78" s="2053"/>
      <c r="AG78" s="2054">
        <v>0</v>
      </c>
      <c r="AH78" s="2054"/>
      <c r="AI78" s="2054"/>
      <c r="AJ78" s="2054"/>
      <c r="AK78" s="1018"/>
      <c r="AL78" s="1008"/>
      <c r="AM78" s="1008"/>
      <c r="AN78" s="1008"/>
      <c r="AO78" s="1008"/>
      <c r="AP78" s="2030" t="s">
        <v>5126</v>
      </c>
      <c r="AQ78" s="2030"/>
      <c r="AR78" s="2030"/>
      <c r="AS78" s="2031" t="s">
        <v>3652</v>
      </c>
      <c r="AT78" s="2032"/>
      <c r="AU78" s="171"/>
      <c r="AV78" s="386" t="b">
        <v>1</v>
      </c>
      <c r="AW78" s="387"/>
      <c r="AX78" s="387"/>
      <c r="AY78" s="387"/>
      <c r="AZ78" s="387"/>
      <c r="BA78" s="83"/>
      <c r="BB78" s="83"/>
      <c r="BC78" s="83"/>
      <c r="BD78" s="83"/>
      <c r="BE78" s="83"/>
      <c r="BF78" s="83"/>
      <c r="BG78" s="83"/>
      <c r="BH78" s="83"/>
      <c r="BI78" s="83"/>
      <c r="BJ78" s="83"/>
      <c r="BK78" s="83"/>
      <c r="BL78" s="628"/>
      <c r="BM78" s="628"/>
      <c r="BN78" s="83"/>
      <c r="BO78" s="83"/>
      <c r="BP78" s="83"/>
      <c r="BQ78" s="83"/>
      <c r="BR78" s="83"/>
      <c r="BT78" s="4"/>
      <c r="BU78" s="4"/>
      <c r="BV78" s="4"/>
      <c r="BW78" s="4"/>
      <c r="BZ78" s="369" t="s">
        <v>1065</v>
      </c>
      <c r="CA78" s="369" t="str">
        <f t="shared" si="13"/>
        <v>1621421</v>
      </c>
      <c r="CB78" s="82" t="s">
        <v>1394</v>
      </c>
      <c r="CD78" s="108"/>
      <c r="CE78" s="108"/>
      <c r="CF78" s="108"/>
      <c r="CG78" s="27"/>
      <c r="CH78" s="49" t="s">
        <v>177</v>
      </c>
      <c r="CI78" s="49" t="s">
        <v>63</v>
      </c>
      <c r="CJ78" s="49">
        <v>4</v>
      </c>
      <c r="CK78" s="49" t="s">
        <v>90</v>
      </c>
      <c r="CL78" s="49" t="s">
        <v>90</v>
      </c>
      <c r="CM78" s="49"/>
      <c r="CN78" s="49"/>
      <c r="CO78" s="50" t="s">
        <v>176</v>
      </c>
      <c r="CP78" s="51" t="str">
        <f>IF(OR(記入シート1!I106="",記入シート1!K106="",記入シート1!M106="",記入シート1!O106=""),"",記入シート1!I106&amp;記入シート1!K106&amp;記入シート1!M106&amp;記入シート1!O106)</f>
        <v/>
      </c>
      <c r="CQ78" s="2"/>
      <c r="CR78" s="45"/>
      <c r="CS78" s="45"/>
      <c r="CT78" s="45"/>
      <c r="CU78" s="45"/>
      <c r="CV78" s="10"/>
      <c r="CW78" s="34" t="s">
        <v>123</v>
      </c>
      <c r="CX78" s="34"/>
      <c r="CY78" s="40" t="s">
        <v>736</v>
      </c>
      <c r="CZ78" s="41" t="s">
        <v>349</v>
      </c>
      <c r="DA78" s="40"/>
      <c r="DB78" s="34" t="str">
        <f t="shared" si="15"/>
        <v>105</v>
      </c>
      <c r="DC78" s="102">
        <v>105001</v>
      </c>
      <c r="DD78" s="96"/>
      <c r="DE78" s="87"/>
      <c r="DF78" s="64"/>
      <c r="DG78" s="64"/>
      <c r="DH78" s="436" t="s">
        <v>938</v>
      </c>
      <c r="DI78" s="436" t="s">
        <v>3246</v>
      </c>
      <c r="DJ78" s="626"/>
      <c r="DK78" s="75" t="str">
        <f t="shared" si="14"/>
        <v>93501PZ7</v>
      </c>
      <c r="DL78" s="78" t="s">
        <v>2183</v>
      </c>
      <c r="DM78" s="78" t="s">
        <v>3275</v>
      </c>
      <c r="DN78" s="692" t="str">
        <f>""</f>
        <v/>
      </c>
      <c r="DO78" s="30"/>
      <c r="DP78" s="30"/>
      <c r="DQ78" s="367"/>
      <c r="DR78" s="367"/>
      <c r="DS78" s="367"/>
      <c r="DT78" s="367"/>
      <c r="DU78" s="367"/>
      <c r="DV78" s="27"/>
      <c r="DX78" s="85"/>
      <c r="DY78" s="85"/>
    </row>
    <row r="79" spans="1:129" ht="19.5" customHeight="1" thickTop="1" thickBot="1">
      <c r="A79" s="354"/>
      <c r="B79" s="181"/>
      <c r="C79" s="1623"/>
      <c r="D79" s="1624"/>
      <c r="E79" s="1624"/>
      <c r="F79" s="1624"/>
      <c r="G79" s="1624"/>
      <c r="H79" s="1624"/>
      <c r="I79" s="2015"/>
      <c r="J79" s="2037" t="s">
        <v>5148</v>
      </c>
      <c r="K79" s="2038"/>
      <c r="L79" s="2039"/>
      <c r="M79" s="2039"/>
      <c r="N79" s="2040"/>
      <c r="O79" s="2041" t="s">
        <v>5228</v>
      </c>
      <c r="P79" s="2042"/>
      <c r="Q79" s="2042"/>
      <c r="R79" s="2042"/>
      <c r="S79" s="2042"/>
      <c r="T79" s="2042"/>
      <c r="U79" s="2042"/>
      <c r="V79" s="2042"/>
      <c r="W79" s="2043" t="s">
        <v>5496</v>
      </c>
      <c r="X79" s="2044"/>
      <c r="Y79" s="2044"/>
      <c r="Z79" s="2045"/>
      <c r="AA79" s="2046" t="s">
        <v>5217</v>
      </c>
      <c r="AB79" s="2047"/>
      <c r="AC79" s="2047"/>
      <c r="AD79" s="2047"/>
      <c r="AE79" s="2047"/>
      <c r="AF79" s="2047"/>
      <c r="AG79" s="2047"/>
      <c r="AH79" s="2048"/>
      <c r="AI79" s="2049" t="s">
        <v>5480</v>
      </c>
      <c r="AJ79" s="2050"/>
      <c r="AK79" s="2050"/>
      <c r="AL79" s="2051"/>
      <c r="AM79" s="1019"/>
      <c r="AN79" s="2050" t="s">
        <v>3192</v>
      </c>
      <c r="AO79" s="2050"/>
      <c r="AP79" s="2050"/>
      <c r="AQ79" s="1019"/>
      <c r="AR79" s="2050" t="s">
        <v>3193</v>
      </c>
      <c r="AS79" s="2050"/>
      <c r="AT79" s="2052"/>
      <c r="AU79" s="171"/>
      <c r="AV79" s="386" t="b">
        <v>1</v>
      </c>
      <c r="AW79" s="387"/>
      <c r="AX79" s="387"/>
      <c r="AY79" s="387"/>
      <c r="AZ79" s="387"/>
      <c r="BA79" s="83">
        <v>1</v>
      </c>
      <c r="BB79" s="83"/>
      <c r="BC79" s="83"/>
      <c r="BD79" s="83"/>
      <c r="BE79" s="83"/>
      <c r="BF79" s="83"/>
      <c r="BG79" s="83"/>
      <c r="BH79" s="83"/>
      <c r="BI79" s="83"/>
      <c r="BJ79" s="83"/>
      <c r="BK79" s="83"/>
      <c r="BL79" s="628"/>
      <c r="BM79" s="628"/>
      <c r="BN79" s="83"/>
      <c r="BO79" s="83"/>
      <c r="BP79" s="83"/>
      <c r="BQ79" s="83"/>
      <c r="BR79" s="83"/>
      <c r="BU79" s="4"/>
      <c r="BV79" s="4"/>
      <c r="BW79" s="4"/>
      <c r="BZ79" s="369" t="s">
        <v>1066</v>
      </c>
      <c r="CA79" s="369" t="str">
        <f t="shared" si="13"/>
        <v>1621420</v>
      </c>
      <c r="CB79" s="82" t="s">
        <v>1395</v>
      </c>
      <c r="CD79" s="108"/>
      <c r="CE79" s="108"/>
      <c r="CF79" s="108"/>
      <c r="CG79" s="27"/>
      <c r="CH79" s="49" t="s">
        <v>480</v>
      </c>
      <c r="CI79" s="49" t="s">
        <v>63</v>
      </c>
      <c r="CJ79" s="49">
        <v>3</v>
      </c>
      <c r="CK79" s="49" t="s">
        <v>90</v>
      </c>
      <c r="CL79" s="49" t="s">
        <v>90</v>
      </c>
      <c r="CM79" s="49"/>
      <c r="CN79" s="49"/>
      <c r="CO79" s="50" t="s">
        <v>166</v>
      </c>
      <c r="CP79" s="51" t="str">
        <f>IF(OR(記入シート1!V106="",記入シート1!X106="",記入シート1!Z106=""),"",記入シート1!V106&amp;記入シート1!X106&amp;記入シート1!Z106)</f>
        <v/>
      </c>
      <c r="CQ79" s="2"/>
      <c r="CR79" s="45"/>
      <c r="CS79" s="45"/>
      <c r="CT79" s="45"/>
      <c r="CU79" s="45"/>
      <c r="CV79" s="10"/>
      <c r="CW79" s="8" t="s">
        <v>2022</v>
      </c>
      <c r="CX79" s="8"/>
      <c r="CY79" s="616" t="s">
        <v>2023</v>
      </c>
      <c r="CZ79" s="617" t="s">
        <v>349</v>
      </c>
      <c r="DA79" s="616"/>
      <c r="DB79" s="71" t="str">
        <f t="shared" si="15"/>
        <v>001</v>
      </c>
      <c r="DC79" s="77" t="s">
        <v>2021</v>
      </c>
      <c r="DD79" s="72">
        <f>IF(AV82=TRUE,1,0)</f>
        <v>0</v>
      </c>
      <c r="DE79" s="87"/>
      <c r="DF79" s="64"/>
      <c r="DG79" s="64"/>
      <c r="DH79" s="436" t="s">
        <v>938</v>
      </c>
      <c r="DI79" s="436" t="s">
        <v>3247</v>
      </c>
      <c r="DJ79" s="626"/>
      <c r="DK79" s="75" t="str">
        <f t="shared" si="14"/>
        <v>93501PZ8</v>
      </c>
      <c r="DL79" s="78" t="s">
        <v>2183</v>
      </c>
      <c r="DM79" s="78" t="s">
        <v>3276</v>
      </c>
      <c r="DN79" s="692" t="str">
        <f>""</f>
        <v/>
      </c>
      <c r="DO79" s="30"/>
      <c r="DP79" s="30"/>
      <c r="DQ79" s="367"/>
      <c r="DR79" s="367"/>
      <c r="DS79" s="367"/>
      <c r="DT79" s="367"/>
      <c r="DU79" s="367"/>
      <c r="DV79" s="27"/>
      <c r="DX79" s="85"/>
      <c r="DY79" s="85"/>
    </row>
    <row r="80" spans="1:129" ht="19.5" customHeight="1" thickTop="1" thickBot="1">
      <c r="A80" s="354"/>
      <c r="B80" s="181"/>
      <c r="C80" s="2523" t="s">
        <v>5127</v>
      </c>
      <c r="D80" s="2524"/>
      <c r="E80" s="2524"/>
      <c r="F80" s="2524"/>
      <c r="G80" s="2524"/>
      <c r="H80" s="2524"/>
      <c r="I80" s="2525"/>
      <c r="J80" s="1031"/>
      <c r="K80" s="853"/>
      <c r="L80" s="2033" t="s">
        <v>642</v>
      </c>
      <c r="M80" s="2034"/>
      <c r="N80" s="2035"/>
      <c r="O80" s="2036" t="s">
        <v>1071</v>
      </c>
      <c r="P80" s="2036"/>
      <c r="Q80" s="2029">
        <v>0</v>
      </c>
      <c r="R80" s="2029"/>
      <c r="S80" s="2029"/>
      <c r="T80" s="2029"/>
      <c r="U80" s="2029">
        <v>0</v>
      </c>
      <c r="V80" s="2029"/>
      <c r="W80" s="2029"/>
      <c r="X80" s="2029"/>
      <c r="Y80" s="2053">
        <v>0</v>
      </c>
      <c r="Z80" s="2053"/>
      <c r="AA80" s="2053"/>
      <c r="AB80" s="2053"/>
      <c r="AC80" s="2053">
        <v>0</v>
      </c>
      <c r="AD80" s="2053"/>
      <c r="AE80" s="2053"/>
      <c r="AF80" s="2053"/>
      <c r="AG80" s="2054">
        <v>0</v>
      </c>
      <c r="AH80" s="2054"/>
      <c r="AI80" s="2054"/>
      <c r="AJ80" s="2054"/>
      <c r="AK80" s="1011"/>
      <c r="AL80" s="1011"/>
      <c r="AM80" s="1011"/>
      <c r="AN80" s="1011"/>
      <c r="AO80" s="1011"/>
      <c r="AP80" s="2526" t="s">
        <v>3651</v>
      </c>
      <c r="AQ80" s="2526"/>
      <c r="AR80" s="2526"/>
      <c r="AS80" s="2527" t="s">
        <v>3652</v>
      </c>
      <c r="AT80" s="2528"/>
      <c r="AU80" s="171"/>
      <c r="AV80" s="386" t="b">
        <v>1</v>
      </c>
      <c r="AW80" s="387"/>
      <c r="AX80" s="387"/>
      <c r="AY80" s="387"/>
      <c r="AZ80" s="387"/>
      <c r="BA80" s="83"/>
      <c r="BB80" s="83"/>
      <c r="BC80" s="83"/>
      <c r="BD80" s="83"/>
      <c r="BE80" s="83"/>
      <c r="BF80" s="83"/>
      <c r="BG80" s="83"/>
      <c r="BH80" s="83"/>
      <c r="BI80" s="83"/>
      <c r="BJ80" s="83"/>
      <c r="BK80" s="83"/>
      <c r="BL80" s="628"/>
      <c r="BM80" s="628"/>
      <c r="BN80" s="83"/>
      <c r="BO80" s="83"/>
      <c r="BP80" s="83"/>
      <c r="BQ80" s="83"/>
      <c r="BR80" s="83"/>
      <c r="BU80" s="4"/>
      <c r="BV80" s="4"/>
      <c r="BW80" s="4"/>
      <c r="BZ80" s="369" t="s">
        <v>1067</v>
      </c>
      <c r="CA80" s="369" t="str">
        <f t="shared" si="13"/>
        <v>1621422</v>
      </c>
      <c r="CB80" s="82" t="s">
        <v>1396</v>
      </c>
      <c r="CD80" s="108"/>
      <c r="CE80" s="108"/>
      <c r="CF80" s="108"/>
      <c r="CG80" s="27"/>
      <c r="CH80" s="49" t="s">
        <v>158</v>
      </c>
      <c r="CI80" s="49" t="s">
        <v>63</v>
      </c>
      <c r="CJ80" s="49">
        <v>1</v>
      </c>
      <c r="CK80" s="49" t="s">
        <v>90</v>
      </c>
      <c r="CL80" s="49" t="s">
        <v>90</v>
      </c>
      <c r="CM80" s="49" t="s">
        <v>481</v>
      </c>
      <c r="CN80" s="49"/>
      <c r="CO80" s="50" t="s">
        <v>157</v>
      </c>
      <c r="CP80" s="51">
        <f>記入シート1!AV108</f>
        <v>0</v>
      </c>
      <c r="CQ80" s="2"/>
      <c r="CR80" s="45"/>
      <c r="CS80" s="45"/>
      <c r="CT80" s="45"/>
      <c r="CU80" s="45"/>
      <c r="CV80" s="10"/>
      <c r="CW80" s="8" t="s">
        <v>891</v>
      </c>
      <c r="CX80" s="8"/>
      <c r="CY80" s="616" t="s">
        <v>736</v>
      </c>
      <c r="CZ80" s="617" t="s">
        <v>349</v>
      </c>
      <c r="DA80" s="616"/>
      <c r="DB80" s="71" t="str">
        <f t="shared" si="15"/>
        <v>106</v>
      </c>
      <c r="DC80" s="77" t="s">
        <v>930</v>
      </c>
      <c r="DD80" s="72">
        <v>1</v>
      </c>
      <c r="DE80" s="87"/>
      <c r="DF80" s="64"/>
      <c r="DG80" s="64"/>
      <c r="DH80" s="436" t="s">
        <v>938</v>
      </c>
      <c r="DI80" s="436" t="s">
        <v>3251</v>
      </c>
      <c r="DJ80" s="626"/>
      <c r="DK80" s="75" t="str">
        <f t="shared" si="14"/>
        <v>93501PZ9</v>
      </c>
      <c r="DL80" s="78" t="s">
        <v>2183</v>
      </c>
      <c r="DM80" s="78" t="s">
        <v>3277</v>
      </c>
      <c r="DN80" s="692" t="str">
        <f>""</f>
        <v/>
      </c>
      <c r="DO80" s="30"/>
      <c r="DP80" s="30"/>
      <c r="DQ80" s="367"/>
      <c r="DR80" s="367"/>
      <c r="DS80" s="367"/>
      <c r="DT80" s="367"/>
      <c r="DU80" s="367"/>
      <c r="DV80" s="27"/>
      <c r="DX80" s="85"/>
      <c r="DY80" s="85"/>
    </row>
    <row r="81" spans="1:129" ht="19.5" customHeight="1" thickBot="1">
      <c r="A81" s="354"/>
      <c r="B81" s="181"/>
      <c r="C81" s="497"/>
      <c r="D81" s="497"/>
      <c r="E81" s="497"/>
      <c r="F81" s="497"/>
      <c r="G81" s="497"/>
      <c r="H81" s="497"/>
      <c r="I81" s="497"/>
      <c r="J81" s="497"/>
      <c r="K81" s="497"/>
      <c r="L81" s="702"/>
      <c r="M81" s="702"/>
      <c r="N81" s="703"/>
      <c r="O81" s="703"/>
      <c r="P81" s="703"/>
      <c r="Q81" s="703"/>
      <c r="R81" s="703"/>
      <c r="S81" s="703"/>
      <c r="T81" s="703"/>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171"/>
      <c r="AV81" s="20"/>
      <c r="BV81" s="4"/>
      <c r="BW81" s="4"/>
      <c r="BX81" s="4"/>
      <c r="BZ81" s="369" t="s">
        <v>1068</v>
      </c>
      <c r="CA81" s="369" t="str">
        <f t="shared" si="13"/>
        <v>1621424</v>
      </c>
      <c r="CB81" s="82" t="s">
        <v>1397</v>
      </c>
      <c r="CD81" s="108"/>
      <c r="CE81" s="108"/>
      <c r="CF81" s="108"/>
      <c r="CG81" s="27"/>
      <c r="CH81" s="49" t="s">
        <v>155</v>
      </c>
      <c r="CI81" s="49" t="s">
        <v>63</v>
      </c>
      <c r="CJ81" s="49">
        <v>7</v>
      </c>
      <c r="CK81" s="49" t="s">
        <v>90</v>
      </c>
      <c r="CL81" s="49" t="s">
        <v>90</v>
      </c>
      <c r="CM81" s="49"/>
      <c r="CN81" s="49"/>
      <c r="CO81" s="50" t="s">
        <v>154</v>
      </c>
      <c r="CP81" s="51"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2"/>
      <c r="CR81" s="45"/>
      <c r="CS81" s="45"/>
      <c r="CT81" s="45"/>
      <c r="CU81" s="45"/>
      <c r="CV81" s="10"/>
      <c r="CW81" s="8" t="s">
        <v>1007</v>
      </c>
      <c r="CX81" s="8"/>
      <c r="CY81" s="616" t="s">
        <v>624</v>
      </c>
      <c r="CZ81" s="617" t="s">
        <v>1009</v>
      </c>
      <c r="DA81" s="616"/>
      <c r="DB81" s="71" t="str">
        <f t="shared" si="15"/>
        <v>707</v>
      </c>
      <c r="DC81" s="77" t="s">
        <v>1008</v>
      </c>
      <c r="DD81" s="72">
        <f>IF(AV97=TRUE,1,0)</f>
        <v>0</v>
      </c>
      <c r="DE81" s="87"/>
      <c r="DF81" s="64"/>
      <c r="DG81" s="64"/>
      <c r="DH81" s="436" t="s">
        <v>938</v>
      </c>
      <c r="DI81" s="436" t="s">
        <v>3272</v>
      </c>
      <c r="DJ81" s="626"/>
      <c r="DK81" s="75" t="str">
        <f t="shared" si="14"/>
        <v>93501PZA</v>
      </c>
      <c r="DL81" s="78" t="s">
        <v>2183</v>
      </c>
      <c r="DM81" s="78" t="s">
        <v>3273</v>
      </c>
      <c r="DN81" s="627" t="str">
        <f>ASC(SUBSTITUTE(CP48," ","_"))</f>
        <v/>
      </c>
      <c r="DO81" s="30"/>
      <c r="DP81" s="30"/>
      <c r="DQ81" s="367"/>
      <c r="DR81" s="367"/>
      <c r="DS81" s="367"/>
      <c r="DT81" s="367"/>
      <c r="DU81" s="367"/>
      <c r="DV81" s="27"/>
      <c r="DX81" s="85"/>
      <c r="DY81" s="85"/>
    </row>
    <row r="82" spans="1:129" ht="19.5" customHeight="1">
      <c r="A82" s="354"/>
      <c r="B82" s="181"/>
      <c r="C82" s="1228" t="s">
        <v>5084</v>
      </c>
      <c r="D82" s="1229"/>
      <c r="E82" s="1229"/>
      <c r="F82" s="1229"/>
      <c r="G82" s="1229"/>
      <c r="H82" s="1229"/>
      <c r="I82" s="1230"/>
      <c r="J82" s="2530" t="s">
        <v>4373</v>
      </c>
      <c r="K82" s="2531"/>
      <c r="L82" s="2531"/>
      <c r="M82" s="2531"/>
      <c r="N82" s="2532"/>
      <c r="O82" s="897"/>
      <c r="P82" s="897"/>
      <c r="Q82" s="1738" t="s">
        <v>4346</v>
      </c>
      <c r="R82" s="1738"/>
      <c r="S82" s="1738"/>
      <c r="T82" s="898"/>
      <c r="U82" s="899"/>
      <c r="V82" s="2533" t="s">
        <v>4347</v>
      </c>
      <c r="W82" s="2533"/>
      <c r="X82" s="2533"/>
      <c r="Y82" s="2534" t="s">
        <v>4375</v>
      </c>
      <c r="Z82" s="2535"/>
      <c r="AA82" s="2535"/>
      <c r="AB82" s="2535"/>
      <c r="AC82" s="2535"/>
      <c r="AD82" s="2535"/>
      <c r="AE82" s="2535"/>
      <c r="AF82" s="2535"/>
      <c r="AG82" s="2535"/>
      <c r="AH82" s="2535"/>
      <c r="AI82" s="2535"/>
      <c r="AJ82" s="2535"/>
      <c r="AK82" s="2535"/>
      <c r="AL82" s="2535"/>
      <c r="AM82" s="2535"/>
      <c r="AN82" s="2535"/>
      <c r="AO82" s="2535"/>
      <c r="AP82" s="2535"/>
      <c r="AQ82" s="2535"/>
      <c r="AR82" s="2535"/>
      <c r="AS82" s="2535"/>
      <c r="AT82" s="2536"/>
      <c r="AU82" s="171"/>
      <c r="AV82" s="386">
        <v>1</v>
      </c>
      <c r="BV82" s="4"/>
      <c r="BW82" s="4"/>
      <c r="BX82" s="4"/>
      <c r="BZ82" s="369" t="s">
        <v>1069</v>
      </c>
      <c r="CA82" s="369" t="str">
        <f t="shared" si="13"/>
        <v>1621423</v>
      </c>
      <c r="CB82" s="82" t="s">
        <v>1398</v>
      </c>
      <c r="CD82" s="108"/>
      <c r="CE82" s="108"/>
      <c r="CF82" s="108"/>
      <c r="CG82" s="27"/>
      <c r="CH82" s="49" t="s">
        <v>483</v>
      </c>
      <c r="CI82" s="49" t="s">
        <v>152</v>
      </c>
      <c r="CJ82" s="49">
        <v>100</v>
      </c>
      <c r="CK82" s="49" t="s">
        <v>90</v>
      </c>
      <c r="CL82" s="49" t="s">
        <v>90</v>
      </c>
      <c r="CM82" s="49"/>
      <c r="CN82" s="49"/>
      <c r="CO82" s="50" t="s">
        <v>151</v>
      </c>
      <c r="CP82" s="51" t="str">
        <f>DBCS(記入シート1!I112)</f>
        <v/>
      </c>
      <c r="CQ82" s="2"/>
      <c r="CR82" s="45"/>
      <c r="CS82" s="45"/>
      <c r="CT82" s="45"/>
      <c r="CU82" s="45"/>
      <c r="CV82" s="10"/>
      <c r="CW82" s="8" t="s">
        <v>1959</v>
      </c>
      <c r="CX82" s="8"/>
      <c r="CY82" s="616" t="s">
        <v>736</v>
      </c>
      <c r="CZ82" s="617" t="s">
        <v>349</v>
      </c>
      <c r="DA82" s="616"/>
      <c r="DB82" s="71" t="str">
        <f t="shared" si="15"/>
        <v>107</v>
      </c>
      <c r="DC82" s="77" t="s">
        <v>1961</v>
      </c>
      <c r="DD82" s="72">
        <f>IF(AV29=TRUE,1,0)</f>
        <v>1</v>
      </c>
      <c r="DE82" s="87"/>
      <c r="DF82" s="64"/>
      <c r="DG82" s="64"/>
      <c r="DH82" s="436" t="s">
        <v>2152</v>
      </c>
      <c r="DI82" s="436" t="s">
        <v>2173</v>
      </c>
      <c r="DJ82" s="626"/>
      <c r="DK82" s="75" t="str">
        <f t="shared" si="14"/>
        <v>93601Q07</v>
      </c>
      <c r="DL82" s="78" t="s">
        <v>2186</v>
      </c>
      <c r="DM82" s="78" t="s">
        <v>2187</v>
      </c>
      <c r="DN82" s="627" t="str">
        <f>T(記入シート1!I67)</f>
        <v/>
      </c>
      <c r="DO82" s="30"/>
      <c r="DP82" s="30"/>
      <c r="DQ82" s="367"/>
      <c r="DR82" s="367"/>
      <c r="DS82" s="367"/>
      <c r="DT82" s="367"/>
      <c r="DU82" s="367"/>
      <c r="DV82" s="27"/>
      <c r="DX82" s="85"/>
      <c r="DY82" s="85"/>
    </row>
    <row r="83" spans="1:129" ht="19.5" hidden="1" customHeight="1" thickBot="1">
      <c r="A83" s="354"/>
      <c r="B83" s="181"/>
      <c r="C83" s="1203"/>
      <c r="D83" s="1204"/>
      <c r="E83" s="1204"/>
      <c r="F83" s="1204"/>
      <c r="G83" s="1204"/>
      <c r="H83" s="1204"/>
      <c r="I83" s="1205"/>
      <c r="J83" s="2537" t="s">
        <v>4149</v>
      </c>
      <c r="K83" s="2538"/>
      <c r="L83" s="2538"/>
      <c r="M83" s="2538"/>
      <c r="N83" s="2539"/>
      <c r="O83" s="900"/>
      <c r="P83" s="900"/>
      <c r="Q83" s="2540" t="s">
        <v>4348</v>
      </c>
      <c r="R83" s="2540"/>
      <c r="S83" s="2540"/>
      <c r="T83" s="900"/>
      <c r="U83" s="900"/>
      <c r="V83" s="2540" t="s">
        <v>3594</v>
      </c>
      <c r="W83" s="2540"/>
      <c r="X83" s="2540"/>
      <c r="Y83" s="2541" t="s">
        <v>4374</v>
      </c>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3"/>
      <c r="AU83" s="171"/>
      <c r="AV83" s="20">
        <v>4</v>
      </c>
      <c r="AW83" s="386"/>
      <c r="BV83" s="4"/>
      <c r="BW83" s="4"/>
      <c r="BX83" s="4"/>
      <c r="BZ83" s="369" t="s">
        <v>1070</v>
      </c>
      <c r="CA83" s="369" t="str">
        <f t="shared" si="13"/>
        <v>0107746</v>
      </c>
      <c r="CB83" s="82" t="s">
        <v>1399</v>
      </c>
      <c r="CD83" s="108"/>
      <c r="CE83" s="108"/>
      <c r="CF83" s="108"/>
      <c r="CG83" s="27"/>
      <c r="CH83" s="49" t="s">
        <v>149</v>
      </c>
      <c r="CI83" s="49" t="s">
        <v>22</v>
      </c>
      <c r="CJ83" s="49">
        <v>100</v>
      </c>
      <c r="CK83" s="49" t="s">
        <v>90</v>
      </c>
      <c r="CL83" s="49" t="s">
        <v>90</v>
      </c>
      <c r="CM83" s="49"/>
      <c r="CN83" s="49"/>
      <c r="CO83" s="50" t="s">
        <v>148</v>
      </c>
      <c r="CP83" s="51" t="str">
        <f>ASC(LEFT(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SUBSTITUTE(SUBSTITUTE(記入シート1!I110,"ヴ","ウﾞ"),"・",".")))))),35))</f>
        <v/>
      </c>
      <c r="CQ83" s="2"/>
      <c r="CR83" s="45"/>
      <c r="CS83" s="45"/>
      <c r="CT83" s="45"/>
      <c r="CU83" s="45"/>
      <c r="CV83" s="10"/>
      <c r="CW83" s="8" t="s">
        <v>1960</v>
      </c>
      <c r="CX83" s="8"/>
      <c r="CY83" s="616" t="s">
        <v>624</v>
      </c>
      <c r="CZ83" s="617" t="s">
        <v>1009</v>
      </c>
      <c r="DA83" s="616"/>
      <c r="DB83" s="71" t="str">
        <f t="shared" si="15"/>
        <v>108</v>
      </c>
      <c r="DC83" s="77" t="s">
        <v>1962</v>
      </c>
      <c r="DD83" s="72">
        <f>IF(AV30=TRUE,1,0)</f>
        <v>1</v>
      </c>
      <c r="DE83" s="87"/>
      <c r="DF83" s="64"/>
      <c r="DG83" s="64"/>
      <c r="DH83" s="436" t="s">
        <v>2152</v>
      </c>
      <c r="DI83" s="436" t="s">
        <v>2174</v>
      </c>
      <c r="DJ83" s="626"/>
      <c r="DK83" s="75" t="str">
        <f t="shared" si="14"/>
        <v>93601Q08</v>
      </c>
      <c r="DL83" s="78" t="s">
        <v>2186</v>
      </c>
      <c r="DM83" s="78" t="s">
        <v>2188</v>
      </c>
      <c r="DN83" s="627" t="str">
        <f>IF(記入シート1!AV88="00","",TEXT(記入シート1!AZ88,0))</f>
        <v>1</v>
      </c>
      <c r="DO83" s="30"/>
      <c r="DP83" s="18"/>
      <c r="DQ83" s="368"/>
      <c r="DR83" s="368"/>
      <c r="DS83" s="368"/>
      <c r="DT83" s="368"/>
      <c r="DU83" s="368"/>
      <c r="DV83" s="27"/>
      <c r="DX83" s="85"/>
      <c r="DY83" s="85"/>
    </row>
    <row r="84" spans="1:129" ht="19.5" customHeight="1">
      <c r="A84" s="111"/>
      <c r="B84" s="181"/>
      <c r="C84" s="2019" t="s">
        <v>5039</v>
      </c>
      <c r="D84" s="2020"/>
      <c r="E84" s="2020"/>
      <c r="F84" s="2020"/>
      <c r="G84" s="2020"/>
      <c r="H84" s="2020"/>
      <c r="I84" s="2021"/>
      <c r="J84" s="2022" t="s">
        <v>4876</v>
      </c>
      <c r="K84" s="1486"/>
      <c r="L84" s="1486"/>
      <c r="M84" s="1486"/>
      <c r="N84" s="2023"/>
      <c r="O84" s="945"/>
      <c r="P84" s="328"/>
      <c r="Q84" s="2024" t="s">
        <v>4348</v>
      </c>
      <c r="R84" s="2024"/>
      <c r="S84" s="2024"/>
      <c r="T84" s="328"/>
      <c r="U84" s="956"/>
      <c r="V84" s="2025" t="s">
        <v>5044</v>
      </c>
      <c r="W84" s="2025"/>
      <c r="X84" s="2025"/>
      <c r="Y84" s="2025"/>
      <c r="Z84" s="2025"/>
      <c r="AA84" s="2025"/>
      <c r="AB84" s="2025"/>
      <c r="AC84" s="2025"/>
      <c r="AD84" s="956"/>
      <c r="AE84" s="957"/>
      <c r="AF84" s="2025" t="s">
        <v>5045</v>
      </c>
      <c r="AG84" s="2025"/>
      <c r="AH84" s="2025"/>
      <c r="AI84" s="2025"/>
      <c r="AJ84" s="2025"/>
      <c r="AK84" s="2025"/>
      <c r="AL84" s="2025"/>
      <c r="AM84" s="2026"/>
      <c r="AN84" s="956"/>
      <c r="AO84" s="956"/>
      <c r="AP84" s="956"/>
      <c r="AQ84" s="956"/>
      <c r="AR84" s="956"/>
      <c r="AS84" s="956"/>
      <c r="AT84" s="947"/>
      <c r="AU84" s="171"/>
      <c r="AV84" s="20">
        <v>2</v>
      </c>
      <c r="BV84" s="4"/>
      <c r="BW84" s="4"/>
      <c r="BX84" s="4"/>
      <c r="BZ84" s="369" t="s">
        <v>2103</v>
      </c>
      <c r="CA84" s="369" t="str">
        <f t="shared" si="13"/>
        <v>9999995</v>
      </c>
      <c r="CB84" s="82" t="s">
        <v>2104</v>
      </c>
      <c r="CD84" s="108"/>
      <c r="CE84" s="108"/>
      <c r="CF84" s="108"/>
      <c r="CG84" s="27"/>
      <c r="CH84" s="59" t="s">
        <v>599</v>
      </c>
      <c r="CI84" s="59"/>
      <c r="CJ84" s="59"/>
      <c r="CK84" s="59"/>
      <c r="CL84" s="59"/>
      <c r="CM84" s="59"/>
      <c r="CN84" s="59"/>
      <c r="CO84" s="10"/>
      <c r="CP84" s="10"/>
      <c r="CQ84" s="2"/>
      <c r="CR84" s="45"/>
      <c r="CS84" s="45"/>
      <c r="CT84" s="45"/>
      <c r="CU84" s="45"/>
      <c r="CV84" s="10"/>
      <c r="CW84" s="8" t="s">
        <v>1976</v>
      </c>
      <c r="CX84" s="8"/>
      <c r="CY84" s="616" t="s">
        <v>624</v>
      </c>
      <c r="CZ84" s="617" t="s">
        <v>1009</v>
      </c>
      <c r="DA84" s="616"/>
      <c r="DB84" s="71" t="str">
        <f t="shared" si="15"/>
        <v>109</v>
      </c>
      <c r="DC84" s="77" t="s">
        <v>1990</v>
      </c>
      <c r="DD84" s="72">
        <f>IF(AV31=TRUE,1,0)</f>
        <v>1</v>
      </c>
      <c r="DE84" s="87"/>
      <c r="DF84" s="64"/>
      <c r="DG84" s="64"/>
      <c r="DH84" s="436" t="s">
        <v>2152</v>
      </c>
      <c r="DI84" s="436" t="s">
        <v>2175</v>
      </c>
      <c r="DJ84" s="626"/>
      <c r="DK84" s="75" t="str">
        <f t="shared" si="14"/>
        <v>93601Q09</v>
      </c>
      <c r="DL84" s="78" t="s">
        <v>2186</v>
      </c>
      <c r="DM84" s="78" t="s">
        <v>2189</v>
      </c>
      <c r="DN84" s="627" t="str">
        <f>IF(AV61="0000","",AV61)</f>
        <v>1000</v>
      </c>
      <c r="DO84" s="30"/>
      <c r="DP84" s="18"/>
      <c r="DQ84" s="368"/>
      <c r="DR84" s="368"/>
      <c r="DS84" s="368"/>
      <c r="DT84" s="368"/>
      <c r="DU84" s="368"/>
      <c r="DV84" s="27"/>
      <c r="DX84" s="85"/>
      <c r="DY84" s="85"/>
    </row>
    <row r="85" spans="1:129" ht="19.5" customHeight="1">
      <c r="A85" s="111"/>
      <c r="B85" s="181"/>
      <c r="C85" s="1200"/>
      <c r="D85" s="1201"/>
      <c r="E85" s="1201"/>
      <c r="F85" s="1201"/>
      <c r="G85" s="1201"/>
      <c r="H85" s="1201"/>
      <c r="I85" s="1202"/>
      <c r="J85" s="2027" t="s">
        <v>5043</v>
      </c>
      <c r="K85" s="1883"/>
      <c r="L85" s="1883"/>
      <c r="M85" s="1883"/>
      <c r="N85" s="1883"/>
      <c r="O85" s="1678" t="s">
        <v>5046</v>
      </c>
      <c r="P85" s="1633"/>
      <c r="Q85" s="1658">
        <v>123</v>
      </c>
      <c r="R85" s="1634"/>
      <c r="S85" s="1634">
        <v>123</v>
      </c>
      <c r="T85" s="1634"/>
      <c r="U85" s="1634">
        <v>123</v>
      </c>
      <c r="V85" s="1634"/>
      <c r="W85" s="1634">
        <v>123</v>
      </c>
      <c r="X85" s="1635"/>
      <c r="Y85" s="1632" t="s">
        <v>4874</v>
      </c>
      <c r="Z85" s="1633"/>
      <c r="AA85" s="1658"/>
      <c r="AB85" s="1634"/>
      <c r="AC85" s="1634"/>
      <c r="AD85" s="1634"/>
      <c r="AE85" s="1634"/>
      <c r="AF85" s="1634"/>
      <c r="AG85" s="1634"/>
      <c r="AH85" s="1635"/>
      <c r="AI85" s="1632" t="s">
        <v>5049</v>
      </c>
      <c r="AJ85" s="1633"/>
      <c r="AK85" s="1658"/>
      <c r="AL85" s="1634"/>
      <c r="AM85" s="1634"/>
      <c r="AN85" s="1634"/>
      <c r="AO85" s="1634"/>
      <c r="AP85" s="1634"/>
      <c r="AQ85" s="1634"/>
      <c r="AR85" s="1635"/>
      <c r="AS85" s="952"/>
      <c r="AT85" s="953"/>
      <c r="AU85" s="171"/>
      <c r="BV85" s="4"/>
      <c r="BW85" s="4"/>
      <c r="BX85" s="4"/>
      <c r="BZ85" s="369">
        <v>1626031</v>
      </c>
      <c r="CA85" s="369" t="s">
        <v>2246</v>
      </c>
      <c r="CB85" s="82" t="s">
        <v>2247</v>
      </c>
      <c r="CD85" s="108"/>
      <c r="CE85" s="108"/>
      <c r="CF85" s="108"/>
      <c r="CG85" s="27"/>
      <c r="CH85" s="46" t="s">
        <v>323</v>
      </c>
      <c r="CI85" s="47" t="s">
        <v>586</v>
      </c>
      <c r="CJ85" s="47" t="s">
        <v>321</v>
      </c>
      <c r="CK85" s="46" t="s">
        <v>320</v>
      </c>
      <c r="CL85" s="46" t="s">
        <v>587</v>
      </c>
      <c r="CM85" s="46" t="s">
        <v>326</v>
      </c>
      <c r="CN85" s="46" t="s">
        <v>327</v>
      </c>
      <c r="CO85" s="46" t="s">
        <v>376</v>
      </c>
      <c r="CP85" s="46" t="s">
        <v>328</v>
      </c>
      <c r="CQ85" s="2"/>
      <c r="CR85" s="45"/>
      <c r="CS85" s="45"/>
      <c r="CT85" s="45"/>
      <c r="CU85" s="45"/>
      <c r="CV85" s="10"/>
      <c r="CW85" s="8" t="s">
        <v>1972</v>
      </c>
      <c r="CX85" s="8"/>
      <c r="CY85" s="616" t="s">
        <v>624</v>
      </c>
      <c r="CZ85" s="617" t="s">
        <v>1009</v>
      </c>
      <c r="DA85" s="616"/>
      <c r="DB85" s="71" t="str">
        <f t="shared" si="15"/>
        <v>110</v>
      </c>
      <c r="DC85" s="77" t="s">
        <v>1991</v>
      </c>
      <c r="DD85" s="72">
        <f>IF(AV32=TRUE,1,0)</f>
        <v>1</v>
      </c>
      <c r="DE85" s="87"/>
      <c r="DF85" s="64"/>
      <c r="DG85" s="64"/>
      <c r="DH85" s="436" t="s">
        <v>2152</v>
      </c>
      <c r="DI85" s="436" t="s">
        <v>2176</v>
      </c>
      <c r="DJ85" s="626"/>
      <c r="DK85" s="75" t="str">
        <f t="shared" si="14"/>
        <v>93601Q0A</v>
      </c>
      <c r="DL85" s="78" t="s">
        <v>2186</v>
      </c>
      <c r="DM85" s="78" t="s">
        <v>2190</v>
      </c>
      <c r="DN85" s="627" t="str">
        <f>IF(AV62="0000","",AV62)</f>
        <v>1009</v>
      </c>
      <c r="DO85" s="30"/>
      <c r="DP85" s="18"/>
      <c r="DQ85" s="368"/>
      <c r="DR85" s="368"/>
      <c r="DS85" s="368"/>
      <c r="DT85" s="368"/>
      <c r="DU85" s="368"/>
      <c r="DV85" s="27"/>
      <c r="DX85" s="85"/>
      <c r="DY85" s="85"/>
    </row>
    <row r="86" spans="1:129" ht="19.5" customHeight="1">
      <c r="A86" s="111"/>
      <c r="B86" s="181"/>
      <c r="C86" s="1200"/>
      <c r="D86" s="1201"/>
      <c r="E86" s="1201"/>
      <c r="F86" s="1201"/>
      <c r="G86" s="1201"/>
      <c r="H86" s="1201"/>
      <c r="I86" s="1202"/>
      <c r="J86" s="2028"/>
      <c r="K86" s="1883"/>
      <c r="L86" s="1883"/>
      <c r="M86" s="1883"/>
      <c r="N86" s="1883"/>
      <c r="O86" s="1678" t="s">
        <v>5047</v>
      </c>
      <c r="P86" s="1633"/>
      <c r="Q86" s="1658"/>
      <c r="R86" s="1634"/>
      <c r="S86" s="1634"/>
      <c r="T86" s="1634"/>
      <c r="U86" s="1634"/>
      <c r="V86" s="1634"/>
      <c r="W86" s="1634"/>
      <c r="X86" s="1635"/>
      <c r="Y86" s="1632" t="s">
        <v>5051</v>
      </c>
      <c r="Z86" s="1633"/>
      <c r="AA86" s="1658"/>
      <c r="AB86" s="1634"/>
      <c r="AC86" s="1634"/>
      <c r="AD86" s="1634"/>
      <c r="AE86" s="1634"/>
      <c r="AF86" s="1634"/>
      <c r="AG86" s="1634"/>
      <c r="AH86" s="1635"/>
      <c r="AI86" s="1632" t="s">
        <v>5050</v>
      </c>
      <c r="AJ86" s="1633"/>
      <c r="AK86" s="1658"/>
      <c r="AL86" s="1634"/>
      <c r="AM86" s="1634"/>
      <c r="AN86" s="1634"/>
      <c r="AO86" s="1634"/>
      <c r="AP86" s="1634"/>
      <c r="AQ86" s="1634"/>
      <c r="AR86" s="1635"/>
      <c r="AS86" s="954"/>
      <c r="AT86" s="955"/>
      <c r="AU86" s="171"/>
      <c r="BV86" s="4"/>
      <c r="BW86" s="4"/>
      <c r="BX86" s="4"/>
      <c r="BZ86" s="369">
        <v>1626033</v>
      </c>
      <c r="CA86" s="369" t="s">
        <v>2248</v>
      </c>
      <c r="CB86" s="82" t="s">
        <v>2249</v>
      </c>
      <c r="CD86" s="108"/>
      <c r="CE86" s="108"/>
      <c r="CF86" s="108"/>
      <c r="CG86" s="27"/>
      <c r="CH86" s="49" t="s">
        <v>121</v>
      </c>
      <c r="CI86" s="49" t="s">
        <v>22</v>
      </c>
      <c r="CJ86" s="49">
        <v>40</v>
      </c>
      <c r="CK86" s="49" t="s">
        <v>216</v>
      </c>
      <c r="CL86" s="49" t="s">
        <v>90</v>
      </c>
      <c r="CM86" s="49"/>
      <c r="CN86" s="49"/>
      <c r="CO86" s="50" t="s">
        <v>120</v>
      </c>
      <c r="CP86" s="51" t="str">
        <f>ASC(SUBSTITUTE(SUBSTITUTE(記入シート1!I117,"ヴ","ウﾞ"),"・",""))</f>
        <v/>
      </c>
      <c r="CQ86" s="2"/>
      <c r="CR86" s="45"/>
      <c r="CS86" s="45"/>
      <c r="CT86" s="45"/>
      <c r="CU86" s="45"/>
      <c r="CV86" s="10"/>
      <c r="CW86" s="8" t="s">
        <v>1974</v>
      </c>
      <c r="CX86" s="8"/>
      <c r="CY86" s="616" t="s">
        <v>624</v>
      </c>
      <c r="CZ86" s="617" t="s">
        <v>1009</v>
      </c>
      <c r="DA86" s="616"/>
      <c r="DB86" s="71" t="str">
        <f t="shared" si="15"/>
        <v>111</v>
      </c>
      <c r="DC86" s="77" t="s">
        <v>1992</v>
      </c>
      <c r="DD86" s="72">
        <f>IF(AV33=TRUE,1,0)</f>
        <v>1</v>
      </c>
      <c r="DE86" s="87"/>
      <c r="DF86" s="64"/>
      <c r="DG86" s="64"/>
      <c r="DH86" s="436" t="s">
        <v>2152</v>
      </c>
      <c r="DI86" s="436" t="s">
        <v>2177</v>
      </c>
      <c r="DJ86" s="436" t="s">
        <v>3350</v>
      </c>
      <c r="DK86" s="75" t="str">
        <f t="shared" si="14"/>
        <v>93601Q0B</v>
      </c>
      <c r="DL86" s="78" t="s">
        <v>2186</v>
      </c>
      <c r="DM86" s="78" t="s">
        <v>2191</v>
      </c>
      <c r="DN86" s="627" t="str">
        <f>IF(AV63=1,"0",IF(AV63=2,"1",""))</f>
        <v>0</v>
      </c>
      <c r="DO86" s="18"/>
      <c r="DP86" s="18"/>
      <c r="DQ86" s="368"/>
      <c r="DR86" s="368"/>
      <c r="DS86" s="368"/>
      <c r="DT86" s="368"/>
      <c r="DU86" s="368"/>
      <c r="DV86" s="27"/>
      <c r="DX86" s="85"/>
      <c r="DY86" s="85"/>
    </row>
    <row r="87" spans="1:129" ht="19.5" customHeight="1" thickBot="1">
      <c r="A87" s="354"/>
      <c r="B87" s="181"/>
      <c r="C87" s="1203"/>
      <c r="D87" s="1204"/>
      <c r="E87" s="1204"/>
      <c r="F87" s="1204"/>
      <c r="G87" s="1204"/>
      <c r="H87" s="1204"/>
      <c r="I87" s="1205"/>
      <c r="J87" s="1672" t="s">
        <v>5042</v>
      </c>
      <c r="K87" s="1673"/>
      <c r="L87" s="1673"/>
      <c r="M87" s="1673"/>
      <c r="N87" s="1674"/>
      <c r="O87" s="932"/>
      <c r="P87" s="932"/>
      <c r="Q87" s="1675" t="s">
        <v>4348</v>
      </c>
      <c r="R87" s="1675"/>
      <c r="S87" s="1675"/>
      <c r="T87" s="932"/>
      <c r="U87" s="932"/>
      <c r="V87" s="1676" t="s">
        <v>3594</v>
      </c>
      <c r="W87" s="1676"/>
      <c r="X87" s="1677"/>
      <c r="Y87" s="948"/>
      <c r="Z87" s="948"/>
      <c r="AA87" s="948"/>
      <c r="AB87" s="948"/>
      <c r="AC87" s="948"/>
      <c r="AD87" s="948"/>
      <c r="AE87" s="948"/>
      <c r="AF87" s="948"/>
      <c r="AG87" s="949"/>
      <c r="AH87" s="949"/>
      <c r="AI87" s="949"/>
      <c r="AJ87" s="949"/>
      <c r="AK87" s="949"/>
      <c r="AL87" s="950"/>
      <c r="AM87" s="950"/>
      <c r="AN87" s="950"/>
      <c r="AO87" s="950"/>
      <c r="AP87" s="950"/>
      <c r="AQ87" s="950"/>
      <c r="AR87" s="950"/>
      <c r="AS87" s="948"/>
      <c r="AT87" s="951"/>
      <c r="AU87" s="171"/>
      <c r="AV87" s="151">
        <v>1</v>
      </c>
      <c r="BV87" s="4"/>
      <c r="BW87" s="4"/>
      <c r="BX87" s="4"/>
      <c r="BZ87" s="369">
        <v>1626035</v>
      </c>
      <c r="CA87" s="369" t="s">
        <v>2250</v>
      </c>
      <c r="CB87" s="82" t="s">
        <v>2251</v>
      </c>
      <c r="CD87" s="108"/>
      <c r="CE87" s="108"/>
      <c r="CF87" s="108"/>
      <c r="CG87" s="27"/>
      <c r="CH87" s="49" t="s">
        <v>452</v>
      </c>
      <c r="CI87" s="49" t="s">
        <v>21</v>
      </c>
      <c r="CJ87" s="49">
        <v>40</v>
      </c>
      <c r="CK87" s="49" t="s">
        <v>216</v>
      </c>
      <c r="CL87" s="49" t="s">
        <v>90</v>
      </c>
      <c r="CM87" s="49"/>
      <c r="CN87" s="49"/>
      <c r="CO87" s="50" t="s">
        <v>122</v>
      </c>
      <c r="CP87" s="51" t="str">
        <f>T(記入シート1!I118)</f>
        <v/>
      </c>
      <c r="CQ87" s="2"/>
      <c r="CR87" s="45"/>
      <c r="CS87" s="45"/>
      <c r="CT87" s="45"/>
      <c r="CU87" s="45"/>
      <c r="CV87" s="10"/>
      <c r="CW87" s="618" t="s">
        <v>2151</v>
      </c>
      <c r="CX87" s="618"/>
      <c r="CY87" s="616" t="s">
        <v>736</v>
      </c>
      <c r="CZ87" s="617" t="s">
        <v>1112</v>
      </c>
      <c r="DA87" s="616"/>
      <c r="DB87" s="71" t="str">
        <f t="shared" si="15"/>
        <v>931</v>
      </c>
      <c r="DC87" s="619" t="s">
        <v>2160</v>
      </c>
      <c r="DD87" s="72">
        <f>IF(AV45=TRUE,1,0)</f>
        <v>1</v>
      </c>
      <c r="DE87" s="110"/>
      <c r="DF87" s="64"/>
      <c r="DG87" s="64"/>
      <c r="DH87" s="436" t="s">
        <v>2152</v>
      </c>
      <c r="DI87" s="436" t="s">
        <v>2178</v>
      </c>
      <c r="DJ87" s="626"/>
      <c r="DK87" s="75" t="str">
        <f t="shared" si="14"/>
        <v>93601Q0C</v>
      </c>
      <c r="DL87" s="78" t="s">
        <v>2186</v>
      </c>
      <c r="DM87" s="78" t="s">
        <v>2192</v>
      </c>
      <c r="DN87" s="627" t="str">
        <f>ASC(記入シート1!I43)</f>
        <v/>
      </c>
      <c r="DO87" s="18"/>
      <c r="DV87" s="27"/>
      <c r="DX87" s="85"/>
      <c r="DY87" s="85"/>
    </row>
    <row r="88" spans="1:129" ht="19.5" hidden="1" customHeight="1">
      <c r="A88" s="354" t="s">
        <v>1234</v>
      </c>
      <c r="B88" s="181"/>
      <c r="C88" s="1242" t="s">
        <v>3593</v>
      </c>
      <c r="D88" s="1243"/>
      <c r="E88" s="1243"/>
      <c r="F88" s="1243"/>
      <c r="G88" s="1243"/>
      <c r="H88" s="1243"/>
      <c r="I88" s="1243"/>
      <c r="J88" s="1243"/>
      <c r="K88" s="1243"/>
      <c r="L88" s="1243"/>
      <c r="M88" s="1244"/>
      <c r="N88" s="1281" t="s">
        <v>3594</v>
      </c>
      <c r="O88" s="1243"/>
      <c r="P88" s="1243"/>
      <c r="Q88" s="1244"/>
      <c r="R88" s="1281" t="s">
        <v>3595</v>
      </c>
      <c r="S88" s="1243"/>
      <c r="T88" s="1243"/>
      <c r="U88" s="1243"/>
      <c r="V88" s="1243"/>
      <c r="W88" s="1243"/>
      <c r="X88" s="1243"/>
      <c r="Y88" s="1243"/>
      <c r="Z88" s="1243"/>
      <c r="AA88" s="1243"/>
      <c r="AB88" s="1243"/>
      <c r="AC88" s="1243"/>
      <c r="AD88" s="1243"/>
      <c r="AE88" s="1243"/>
      <c r="AF88" s="1243"/>
      <c r="AG88" s="1243"/>
      <c r="AH88" s="1243"/>
      <c r="AI88" s="1243"/>
      <c r="AJ88" s="1243"/>
      <c r="AK88" s="1243"/>
      <c r="AL88" s="1243"/>
      <c r="AM88" s="1243"/>
      <c r="AN88" s="1243"/>
      <c r="AO88" s="1243"/>
      <c r="AP88" s="1243"/>
      <c r="AQ88" s="1243"/>
      <c r="AR88" s="1243"/>
      <c r="AS88" s="1243"/>
      <c r="AT88" s="2018"/>
      <c r="AU88" s="171"/>
      <c r="BV88" s="4"/>
      <c r="BW88" s="4"/>
      <c r="BX88" s="4"/>
      <c r="BZ88" s="369">
        <v>1300134</v>
      </c>
      <c r="CA88" s="369" t="s">
        <v>2252</v>
      </c>
      <c r="CB88" s="82" t="s">
        <v>2253</v>
      </c>
      <c r="CD88" s="108"/>
      <c r="CE88" s="108"/>
      <c r="CF88" s="108"/>
      <c r="CG88" s="27"/>
      <c r="CH88" s="49" t="s">
        <v>462</v>
      </c>
      <c r="CI88" s="49" t="s">
        <v>21</v>
      </c>
      <c r="CJ88" s="49">
        <v>40</v>
      </c>
      <c r="CK88" s="49" t="s">
        <v>83</v>
      </c>
      <c r="CL88" s="49" t="s">
        <v>83</v>
      </c>
      <c r="CM88" s="49"/>
      <c r="CN88" s="49"/>
      <c r="CO88" s="50" t="s">
        <v>117</v>
      </c>
      <c r="CP88" s="51" t="str">
        <f>T(記入シート1!AE117)</f>
        <v/>
      </c>
      <c r="CQ88" s="2"/>
      <c r="CR88" s="45"/>
      <c r="CS88" s="45"/>
      <c r="CT88" s="45"/>
      <c r="CU88" s="45"/>
      <c r="CV88" s="10"/>
      <c r="CW88" s="618" t="s">
        <v>2159</v>
      </c>
      <c r="CX88" s="618"/>
      <c r="CY88" s="616"/>
      <c r="CZ88" s="617"/>
      <c r="DA88" s="616"/>
      <c r="DB88" s="71" t="str">
        <f t="shared" si="15"/>
        <v>931</v>
      </c>
      <c r="DC88" s="619" t="s">
        <v>2161</v>
      </c>
      <c r="DD88" s="623" t="str">
        <f>""</f>
        <v/>
      </c>
      <c r="DE88" s="110"/>
      <c r="DF88" s="64"/>
      <c r="DG88" s="64"/>
      <c r="DH88" s="436" t="s">
        <v>2152</v>
      </c>
      <c r="DI88" s="436" t="s">
        <v>3238</v>
      </c>
      <c r="DJ88" s="626"/>
      <c r="DK88" s="75" t="str">
        <f t="shared" si="14"/>
        <v>93601Q0D</v>
      </c>
      <c r="DL88" s="78" t="s">
        <v>2186</v>
      </c>
      <c r="DM88" s="78" t="s">
        <v>3351</v>
      </c>
      <c r="DN88" s="627" t="str">
        <f>T(記入シート1!I66)</f>
        <v/>
      </c>
      <c r="DO88" s="18"/>
      <c r="DV88" s="27"/>
      <c r="DX88" s="85"/>
      <c r="DY88" s="85"/>
    </row>
    <row r="89" spans="1:129" ht="19.5" customHeight="1" thickBot="1">
      <c r="A89" s="354"/>
      <c r="B89" s="181"/>
      <c r="C89" s="1613" t="s">
        <v>5520</v>
      </c>
      <c r="D89" s="1614"/>
      <c r="E89" s="1614"/>
      <c r="F89" s="1614"/>
      <c r="G89" s="1614"/>
      <c r="H89" s="1614"/>
      <c r="I89" s="1615"/>
      <c r="J89" s="1060"/>
      <c r="K89" s="1061"/>
      <c r="L89" s="1616" t="s">
        <v>4348</v>
      </c>
      <c r="M89" s="1616"/>
      <c r="N89" s="1617"/>
      <c r="O89" s="1618" t="s">
        <v>5521</v>
      </c>
      <c r="P89" s="1619"/>
      <c r="Q89" s="1619"/>
      <c r="R89" s="1619"/>
      <c r="S89" s="1619"/>
      <c r="T89" s="1619"/>
      <c r="U89" s="1619"/>
      <c r="V89" s="1619"/>
      <c r="W89" s="1619"/>
      <c r="X89" s="1619"/>
      <c r="Y89" s="1619"/>
      <c r="Z89" s="1619"/>
      <c r="AA89" s="1619"/>
      <c r="AB89" s="1619"/>
      <c r="AC89" s="1619"/>
      <c r="AD89" s="1619"/>
      <c r="AE89" s="1619"/>
      <c r="AF89" s="1619"/>
      <c r="AG89" s="1619"/>
      <c r="AH89" s="1619"/>
      <c r="AI89" s="1619"/>
      <c r="AJ89" s="1619"/>
      <c r="AK89" s="1619"/>
      <c r="AL89" s="1619"/>
      <c r="AM89" s="1619"/>
      <c r="AN89" s="1619"/>
      <c r="AO89" s="1619"/>
      <c r="AP89" s="1619"/>
      <c r="AQ89" s="1619"/>
      <c r="AR89" s="1619"/>
      <c r="AS89" s="1619"/>
      <c r="AT89" s="1620"/>
      <c r="AU89" s="171"/>
      <c r="AV89" s="151" t="b">
        <v>0</v>
      </c>
      <c r="AW89" s="251" t="s">
        <v>550</v>
      </c>
      <c r="AX89" s="630">
        <f>L86</f>
        <v>0</v>
      </c>
      <c r="AY89" s="630">
        <f>Q86</f>
        <v>0</v>
      </c>
      <c r="AZ89" s="253"/>
      <c r="BA89" s="10" t="s">
        <v>643</v>
      </c>
      <c r="BB89" s="243"/>
      <c r="BC89" s="243"/>
      <c r="BD89" s="13"/>
      <c r="BE89" s="13"/>
      <c r="BF89" s="244"/>
      <c r="BG89" s="245"/>
      <c r="BH89" s="246"/>
      <c r="BI89" s="247"/>
      <c r="BJ89" s="245"/>
      <c r="BK89" s="13"/>
      <c r="BL89" s="222"/>
      <c r="BM89" s="222"/>
      <c r="BN89" s="248"/>
      <c r="BO89" s="248"/>
      <c r="BP89" s="222"/>
      <c r="BR89" s="13"/>
      <c r="BV89" s="4"/>
      <c r="BW89" s="4"/>
      <c r="BX89" s="4"/>
      <c r="BZ89" s="369">
        <v>1301064</v>
      </c>
      <c r="CA89" s="369" t="s">
        <v>2254</v>
      </c>
      <c r="CB89" s="82" t="s">
        <v>2255</v>
      </c>
      <c r="CD89" s="108"/>
      <c r="CE89" s="108"/>
      <c r="CF89" s="108"/>
      <c r="CG89" s="27"/>
      <c r="CH89" s="49" t="s">
        <v>116</v>
      </c>
      <c r="CI89" s="49" t="s">
        <v>22</v>
      </c>
      <c r="CJ89" s="49">
        <v>15</v>
      </c>
      <c r="CK89" s="49" t="s">
        <v>216</v>
      </c>
      <c r="CL89" s="49" t="s">
        <v>90</v>
      </c>
      <c r="CM89" s="62"/>
      <c r="CN89" s="62"/>
      <c r="CO89" s="50" t="s">
        <v>115</v>
      </c>
      <c r="CP89" s="51" t="str">
        <f>ASC(記入シート1!AE118)&amp;"-"&amp;ASC(記入シート1!AK118)&amp;"-"&amp;ASC(記入シート1!AP118)</f>
        <v>--</v>
      </c>
      <c r="CQ89" s="2"/>
      <c r="CR89" s="45"/>
      <c r="CS89" s="45"/>
      <c r="CT89" s="45"/>
      <c r="CU89" s="45"/>
      <c r="CV89" s="10"/>
      <c r="CW89" s="618" t="s">
        <v>2150</v>
      </c>
      <c r="CX89" s="618"/>
      <c r="CY89" s="616" t="s">
        <v>736</v>
      </c>
      <c r="CZ89" s="617" t="s">
        <v>1112</v>
      </c>
      <c r="DA89" s="616"/>
      <c r="DB89" s="71" t="str">
        <f t="shared" si="15"/>
        <v>932</v>
      </c>
      <c r="DC89" s="619" t="s">
        <v>2162</v>
      </c>
      <c r="DD89" s="72">
        <f>IF(AV44=TRUE,1,0)</f>
        <v>1</v>
      </c>
      <c r="DE89" s="110"/>
      <c r="DF89" s="64"/>
      <c r="DG89" s="64"/>
      <c r="DH89" s="436" t="s">
        <v>2152</v>
      </c>
      <c r="DI89" s="436" t="s">
        <v>3239</v>
      </c>
      <c r="DJ89" s="436" t="s">
        <v>3348</v>
      </c>
      <c r="DK89" s="75" t="str">
        <f t="shared" si="14"/>
        <v>93601Q0E</v>
      </c>
      <c r="DL89" s="78" t="s">
        <v>2186</v>
      </c>
      <c r="DM89" s="78" t="s">
        <v>3352</v>
      </c>
      <c r="DN89" s="692" t="str">
        <f>""</f>
        <v/>
      </c>
      <c r="DO89" s="18"/>
      <c r="DV89" s="27"/>
      <c r="DX89" s="85"/>
      <c r="DY89" s="85"/>
    </row>
    <row r="90" spans="1:129" ht="19.5" hidden="1" customHeight="1" thickBot="1">
      <c r="A90" s="354" t="s">
        <v>1234</v>
      </c>
      <c r="B90" s="181"/>
      <c r="C90" s="1036"/>
      <c r="D90" s="1037"/>
      <c r="E90" s="1037"/>
      <c r="F90" s="1037"/>
      <c r="G90" s="1037"/>
      <c r="H90" s="1037"/>
      <c r="I90" s="1037"/>
      <c r="J90" s="1037"/>
      <c r="K90" s="1037"/>
      <c r="L90" s="1037"/>
      <c r="M90" s="1037"/>
      <c r="N90" s="1038"/>
      <c r="O90" s="1038"/>
      <c r="P90" s="1038"/>
      <c r="Q90" s="1038"/>
      <c r="R90" s="1039"/>
      <c r="S90" s="1040"/>
      <c r="T90" s="1040"/>
      <c r="U90" s="1040"/>
      <c r="V90" s="1040"/>
      <c r="W90" s="1040"/>
      <c r="X90" s="1040"/>
      <c r="Y90" s="1040"/>
      <c r="Z90" s="1040"/>
      <c r="AA90" s="1040"/>
      <c r="AB90" s="1040"/>
      <c r="AC90" s="1040"/>
      <c r="AD90" s="1040"/>
      <c r="AE90" s="1040"/>
      <c r="AF90" s="1040"/>
      <c r="AG90" s="1040"/>
      <c r="AH90" s="1040"/>
      <c r="AI90" s="1040"/>
      <c r="AJ90" s="1040"/>
      <c r="AK90" s="1040"/>
      <c r="AL90" s="1040"/>
      <c r="AM90" s="1040"/>
      <c r="AN90" s="1040"/>
      <c r="AO90" s="1040"/>
      <c r="AP90" s="1040"/>
      <c r="AQ90" s="1040"/>
      <c r="AR90" s="1040"/>
      <c r="AS90" s="1040"/>
      <c r="AT90" s="1041"/>
      <c r="AU90" s="171"/>
      <c r="AV90" s="151" t="b">
        <v>1</v>
      </c>
      <c r="AW90" s="251"/>
      <c r="AX90" s="252"/>
      <c r="AY90" s="252"/>
      <c r="AZ90" s="253"/>
      <c r="BA90" s="10"/>
      <c r="BB90" s="243"/>
      <c r="BC90" s="243"/>
      <c r="BD90" s="13"/>
      <c r="BE90" s="13"/>
      <c r="BF90" s="244"/>
      <c r="BG90" s="245"/>
      <c r="BH90" s="246"/>
      <c r="BI90" s="247"/>
      <c r="BJ90" s="245"/>
      <c r="BK90" s="13"/>
      <c r="BL90" s="222"/>
      <c r="BM90" s="222"/>
      <c r="BN90" s="248"/>
      <c r="BO90" s="248"/>
      <c r="BP90" s="222"/>
      <c r="BR90" s="13"/>
      <c r="BV90" s="4"/>
      <c r="BW90" s="4"/>
      <c r="BX90" s="4"/>
      <c r="BZ90" s="369">
        <v>1602184</v>
      </c>
      <c r="CA90" s="369" t="s">
        <v>2256</v>
      </c>
      <c r="CB90" s="82" t="s">
        <v>2257</v>
      </c>
      <c r="CD90" s="108"/>
      <c r="CE90" s="108"/>
      <c r="CF90" s="108"/>
      <c r="CG90" s="27"/>
      <c r="CH90" s="49" t="s">
        <v>463</v>
      </c>
      <c r="CI90" s="49" t="s">
        <v>22</v>
      </c>
      <c r="CJ90" s="49">
        <v>128</v>
      </c>
      <c r="CK90" s="49" t="s">
        <v>216</v>
      </c>
      <c r="CL90" s="49" t="s">
        <v>90</v>
      </c>
      <c r="CM90" s="49"/>
      <c r="CN90" s="49"/>
      <c r="CO90" s="50" t="s">
        <v>113</v>
      </c>
      <c r="CP90" s="51" t="str">
        <f>ASC(記入シート1!AE120)</f>
        <v/>
      </c>
      <c r="CQ90" s="2"/>
      <c r="CR90" s="45"/>
      <c r="CS90" s="45"/>
      <c r="CT90" s="45"/>
      <c r="CU90" s="45"/>
      <c r="CV90" s="10"/>
      <c r="CW90" s="618" t="s">
        <v>938</v>
      </c>
      <c r="CX90" s="618"/>
      <c r="CY90" s="616" t="s">
        <v>736</v>
      </c>
      <c r="CZ90" s="617" t="s">
        <v>1112</v>
      </c>
      <c r="DA90" s="616"/>
      <c r="DB90" s="71" t="str">
        <f t="shared" si="15"/>
        <v>935</v>
      </c>
      <c r="DC90" s="619" t="s">
        <v>2163</v>
      </c>
      <c r="DD90" s="72">
        <f>IF(AV47=TRUE,1,0)</f>
        <v>1</v>
      </c>
      <c r="DE90" s="110"/>
      <c r="DF90" s="64"/>
      <c r="DG90" s="64"/>
      <c r="DH90" s="436" t="s">
        <v>2152</v>
      </c>
      <c r="DI90" s="436" t="s">
        <v>3240</v>
      </c>
      <c r="DJ90" s="436" t="s">
        <v>3349</v>
      </c>
      <c r="DK90" s="75" t="str">
        <f t="shared" si="14"/>
        <v>93601Q0F</v>
      </c>
      <c r="DL90" s="78" t="s">
        <v>2186</v>
      </c>
      <c r="DM90" s="78" t="s">
        <v>3353</v>
      </c>
      <c r="DN90" s="627" t="str">
        <f>IF(OR(CP26&gt;=10000000000,記入シート1!I43&gt;=100),"1","2")</f>
        <v>2</v>
      </c>
      <c r="DV90" s="27"/>
      <c r="DX90" s="85"/>
      <c r="DY90" s="85"/>
    </row>
    <row r="91" spans="1:129" ht="24" hidden="1" customHeight="1">
      <c r="A91" s="354" t="s">
        <v>3836</v>
      </c>
      <c r="B91" s="181"/>
      <c r="C91" s="1984" t="s">
        <v>3835</v>
      </c>
      <c r="D91" s="1985"/>
      <c r="E91" s="1985"/>
      <c r="F91" s="1985"/>
      <c r="G91" s="1985"/>
      <c r="H91" s="1985"/>
      <c r="I91" s="1985"/>
      <c r="J91" s="1985"/>
      <c r="K91" s="1985"/>
      <c r="L91" s="1985"/>
      <c r="M91" s="1985"/>
      <c r="N91" s="1988"/>
      <c r="O91" s="1988"/>
      <c r="P91" s="1988"/>
      <c r="Q91" s="1988"/>
      <c r="R91" s="1990" t="s">
        <v>3833</v>
      </c>
      <c r="S91" s="1990"/>
      <c r="T91" s="1990"/>
      <c r="U91" s="1990"/>
      <c r="V91" s="1990"/>
      <c r="W91" s="1990"/>
      <c r="X91" s="1990"/>
      <c r="Y91" s="1990"/>
      <c r="Z91" s="1990"/>
      <c r="AA91" s="1990"/>
      <c r="AB91" s="1990"/>
      <c r="AC91" s="1990"/>
      <c r="AD91" s="1990"/>
      <c r="AE91" s="1990"/>
      <c r="AF91" s="1990"/>
      <c r="AG91" s="1990"/>
      <c r="AH91" s="1990"/>
      <c r="AI91" s="1990"/>
      <c r="AJ91" s="1990"/>
      <c r="AK91" s="1990"/>
      <c r="AL91" s="1990"/>
      <c r="AM91" s="1990"/>
      <c r="AN91" s="1990"/>
      <c r="AO91" s="1990"/>
      <c r="AP91" s="1990"/>
      <c r="AQ91" s="1990"/>
      <c r="AR91" s="1990"/>
      <c r="AS91" s="1990"/>
      <c r="AT91" s="1991"/>
      <c r="AU91" s="171"/>
      <c r="AV91" s="151" t="b">
        <v>1</v>
      </c>
      <c r="AW91" s="251"/>
      <c r="AX91" s="252"/>
      <c r="AY91" s="252"/>
      <c r="AZ91" s="253"/>
      <c r="BA91" s="10"/>
      <c r="BB91" s="243"/>
      <c r="BC91" s="243"/>
      <c r="BD91" s="13"/>
      <c r="BE91" s="13"/>
      <c r="BF91" s="244"/>
      <c r="BG91" s="245"/>
      <c r="BH91" s="246"/>
      <c r="BI91" s="247"/>
      <c r="BJ91" s="245"/>
      <c r="BK91" s="13"/>
      <c r="BL91" s="222"/>
      <c r="BM91" s="222"/>
      <c r="BN91" s="248"/>
      <c r="BO91" s="248"/>
      <c r="BP91" s="222"/>
      <c r="BR91" s="13"/>
      <c r="BV91" s="4"/>
      <c r="BW91" s="4"/>
      <c r="BX91" s="4"/>
      <c r="BZ91" s="369">
        <v>1202896</v>
      </c>
      <c r="CA91" s="369" t="s">
        <v>2258</v>
      </c>
      <c r="CB91" s="82" t="s">
        <v>2259</v>
      </c>
      <c r="CD91" s="108"/>
      <c r="CE91" s="108"/>
      <c r="CF91" s="108"/>
      <c r="CG91" s="27"/>
      <c r="CH91" s="470" t="s">
        <v>114</v>
      </c>
      <c r="CI91" s="470" t="s">
        <v>22</v>
      </c>
      <c r="CJ91" s="470">
        <v>15</v>
      </c>
      <c r="CK91" s="470" t="s">
        <v>216</v>
      </c>
      <c r="CL91" s="470" t="s">
        <v>20</v>
      </c>
      <c r="CM91" s="470"/>
      <c r="CN91" s="470"/>
      <c r="CO91" s="50" t="s">
        <v>544</v>
      </c>
      <c r="CP91" s="51" t="str">
        <f>IF(OR(記入シート1!AE119="",記入シート1!AK119="",記入シート1!AP119=""),"00-0000-0000",ASC(記入シート1!AE119)&amp;"-"&amp;ASC(記入シート1!AK119)&amp;"-"&amp;ASC(記入シート1!AP119))</f>
        <v>00-0000-0000</v>
      </c>
      <c r="CQ91" s="2"/>
      <c r="CR91" s="45"/>
      <c r="CS91" s="45"/>
      <c r="CT91" s="45"/>
      <c r="CU91" s="45"/>
      <c r="CV91" s="10"/>
      <c r="CW91" s="618" t="s">
        <v>2152</v>
      </c>
      <c r="CX91" s="618"/>
      <c r="CY91" s="616" t="s">
        <v>736</v>
      </c>
      <c r="CZ91" s="617" t="s">
        <v>1112</v>
      </c>
      <c r="DA91" s="616"/>
      <c r="DB91" s="71" t="str">
        <f t="shared" si="15"/>
        <v>936</v>
      </c>
      <c r="DC91" s="619" t="s">
        <v>2164</v>
      </c>
      <c r="DD91" s="72">
        <f>IF(AV60=TRUE,1,0)</f>
        <v>1</v>
      </c>
      <c r="DE91" s="110"/>
      <c r="DF91" s="64"/>
      <c r="DG91" s="64"/>
      <c r="DH91" s="436" t="s">
        <v>2152</v>
      </c>
      <c r="DI91" s="436" t="s">
        <v>3241</v>
      </c>
      <c r="DJ91" s="436" t="s">
        <v>3262</v>
      </c>
      <c r="DK91" s="75" t="str">
        <f t="shared" si="14"/>
        <v>93601Q0G</v>
      </c>
      <c r="DL91" s="78" t="s">
        <v>2186</v>
      </c>
      <c r="DM91" s="78" t="s">
        <v>3354</v>
      </c>
      <c r="DN91" s="627" t="str">
        <f>ASC(AY61)</f>
        <v>0</v>
      </c>
      <c r="DV91" s="27"/>
      <c r="DX91" s="85"/>
      <c r="DY91" s="85"/>
    </row>
    <row r="92" spans="1:129" ht="24" hidden="1" customHeight="1" thickBot="1">
      <c r="A92" s="354" t="s">
        <v>3836</v>
      </c>
      <c r="B92" s="181"/>
      <c r="C92" s="1986"/>
      <c r="D92" s="1987"/>
      <c r="E92" s="1987"/>
      <c r="F92" s="1987"/>
      <c r="G92" s="1987"/>
      <c r="H92" s="1987"/>
      <c r="I92" s="1987"/>
      <c r="J92" s="1987"/>
      <c r="K92" s="1987"/>
      <c r="L92" s="1987"/>
      <c r="M92" s="1987"/>
      <c r="N92" s="1989"/>
      <c r="O92" s="1989"/>
      <c r="P92" s="1989"/>
      <c r="Q92" s="1989"/>
      <c r="R92" s="1992"/>
      <c r="S92" s="1992"/>
      <c r="T92" s="1992"/>
      <c r="U92" s="1992"/>
      <c r="V92" s="1992"/>
      <c r="W92" s="1992"/>
      <c r="X92" s="1992"/>
      <c r="Y92" s="1992"/>
      <c r="Z92" s="1992"/>
      <c r="AA92" s="1992"/>
      <c r="AB92" s="1992"/>
      <c r="AC92" s="1992"/>
      <c r="AD92" s="1992"/>
      <c r="AE92" s="1992"/>
      <c r="AF92" s="1992"/>
      <c r="AG92" s="1992"/>
      <c r="AH92" s="1992"/>
      <c r="AI92" s="1992"/>
      <c r="AJ92" s="1992"/>
      <c r="AK92" s="1992"/>
      <c r="AL92" s="1992"/>
      <c r="AM92" s="1992"/>
      <c r="AN92" s="1992"/>
      <c r="AO92" s="1992"/>
      <c r="AP92" s="1992"/>
      <c r="AQ92" s="1992"/>
      <c r="AR92" s="1992"/>
      <c r="AS92" s="1992"/>
      <c r="AT92" s="1993"/>
      <c r="AU92" s="171"/>
      <c r="AV92" s="531" t="b">
        <f>IF(OR($AV$18=FALSE,$AV$31=FALSE,$AV$89=FALSE),FALSE,AV91)</f>
        <v>0</v>
      </c>
      <c r="AW92" s="251"/>
      <c r="AX92" s="252"/>
      <c r="AY92" s="252"/>
      <c r="AZ92" s="253"/>
      <c r="BA92" s="10"/>
      <c r="BB92" s="243"/>
      <c r="BC92" s="243"/>
      <c r="BD92" s="13"/>
      <c r="BE92" s="13"/>
      <c r="BF92" s="244"/>
      <c r="BG92" s="245"/>
      <c r="BH92" s="246"/>
      <c r="BI92" s="247"/>
      <c r="BJ92" s="245"/>
      <c r="BK92" s="13"/>
      <c r="BL92" s="222"/>
      <c r="BM92" s="222"/>
      <c r="BN92" s="248"/>
      <c r="BO92" s="248"/>
      <c r="BP92" s="222"/>
      <c r="BR92" s="13"/>
      <c r="BV92" s="4"/>
      <c r="BW92" s="4"/>
      <c r="BX92" s="4"/>
      <c r="CD92" s="108"/>
      <c r="CE92" s="108"/>
      <c r="CF92" s="108"/>
      <c r="CG92" s="27"/>
      <c r="CH92" s="49" t="s">
        <v>111</v>
      </c>
      <c r="CI92" s="49" t="s">
        <v>22</v>
      </c>
      <c r="CJ92" s="49">
        <v>40</v>
      </c>
      <c r="CK92" s="49" t="s">
        <v>216</v>
      </c>
      <c r="CL92" s="49" t="s">
        <v>90</v>
      </c>
      <c r="CM92" s="49"/>
      <c r="CN92" s="49"/>
      <c r="CO92" s="50" t="s">
        <v>110</v>
      </c>
      <c r="CP92" s="51" t="str">
        <f>ASC(SUBSTITUTE(SUBSTITUTE(記入シート1!I121,"ヴ","ウﾞ"),"・",""))</f>
        <v/>
      </c>
      <c r="CQ92" s="2"/>
      <c r="CR92" s="45"/>
      <c r="CS92" s="45"/>
      <c r="CT92" s="45"/>
      <c r="CU92" s="45"/>
      <c r="CV92" s="10"/>
      <c r="CW92" s="618" t="s">
        <v>2244</v>
      </c>
      <c r="CX92" s="618"/>
      <c r="CY92" s="616" t="s">
        <v>736</v>
      </c>
      <c r="CZ92" s="617" t="s">
        <v>1112</v>
      </c>
      <c r="DA92" s="616"/>
      <c r="DB92" s="71" t="str">
        <f t="shared" si="15"/>
        <v>937</v>
      </c>
      <c r="DC92" s="619" t="s">
        <v>2165</v>
      </c>
      <c r="DD92" s="72">
        <f>IF(AV64=TRUE,1,0)</f>
        <v>1</v>
      </c>
      <c r="DE92" s="110"/>
      <c r="DF92" s="64"/>
      <c r="DG92" s="64"/>
      <c r="DH92" s="436" t="s">
        <v>2244</v>
      </c>
      <c r="DI92" s="436" t="s">
        <v>2173</v>
      </c>
      <c r="DJ92" s="626"/>
      <c r="DK92" s="75" t="str">
        <f t="shared" si="14"/>
        <v>93701Q12</v>
      </c>
      <c r="DL92" s="78" t="s">
        <v>3357</v>
      </c>
      <c r="DM92" s="78" t="s">
        <v>3358</v>
      </c>
      <c r="DN92" s="627" t="str">
        <f>T(記入シート1!I67)</f>
        <v/>
      </c>
      <c r="DV92" s="27"/>
      <c r="DX92" s="85"/>
      <c r="DY92" s="85"/>
    </row>
    <row r="93" spans="1:129" ht="19.5" hidden="1" customHeight="1" thickBot="1">
      <c r="A93" s="354" t="s">
        <v>3836</v>
      </c>
      <c r="B93" s="283"/>
      <c r="C93" s="134"/>
      <c r="D93" s="178"/>
      <c r="E93" s="134"/>
      <c r="F93" s="134"/>
      <c r="G93" s="134"/>
      <c r="H93" s="134"/>
      <c r="I93" s="134"/>
      <c r="J93" s="134"/>
      <c r="K93" s="134"/>
      <c r="L93" s="155"/>
      <c r="M93" s="155"/>
      <c r="N93" s="155"/>
      <c r="O93" s="591" t="str">
        <f>IF(AV91=FALSE,"",IF(OR($AV$18=FALSE,$AV$31=FALSE,$AV$89=FALSE),"↑QUICpayのお取扱いをご希望の場合、JCB取り扱いブランドおよびiDとあわせてお申し込みいただく必要があります。",""))</f>
        <v>↑QUICpayのお取扱いをご希望の場合、JCB取り扱いブランドおよびiDとあわせてお申し込みいただく必要があります。</v>
      </c>
      <c r="P93" s="185"/>
      <c r="Q93" s="156"/>
      <c r="R93" s="156"/>
      <c r="S93" s="156"/>
      <c r="T93" s="156"/>
      <c r="U93" s="156"/>
      <c r="V93" s="156"/>
      <c r="W93" s="156"/>
      <c r="X93" s="156"/>
      <c r="Y93" s="157"/>
      <c r="Z93" s="157"/>
      <c r="AA93" s="157"/>
      <c r="AB93" s="157"/>
      <c r="AC93" s="157"/>
      <c r="AD93" s="157"/>
      <c r="AE93" s="157"/>
      <c r="AF93" s="157"/>
      <c r="AG93" s="156"/>
      <c r="AH93" s="156"/>
      <c r="AI93" s="156"/>
      <c r="AJ93" s="156"/>
      <c r="AK93" s="184"/>
      <c r="AL93" s="184"/>
      <c r="AM93" s="158"/>
      <c r="AN93" s="158"/>
      <c r="AO93" s="184"/>
      <c r="AP93" s="184"/>
      <c r="AQ93" s="184"/>
      <c r="AR93" s="184"/>
      <c r="AS93" s="184"/>
      <c r="AT93" s="184"/>
      <c r="AU93" s="171"/>
      <c r="AW93" s="251"/>
      <c r="AX93" s="252"/>
      <c r="AY93" s="252"/>
      <c r="AZ93" s="253"/>
      <c r="BA93" s="10"/>
      <c r="BB93" s="243"/>
      <c r="BC93" s="243"/>
      <c r="BD93" s="13"/>
      <c r="BE93" s="13"/>
      <c r="BF93" s="244"/>
      <c r="BG93" s="245"/>
      <c r="BH93" s="246"/>
      <c r="BI93" s="247"/>
      <c r="BJ93" s="245"/>
      <c r="BK93" s="13"/>
      <c r="BL93" s="222"/>
      <c r="BM93" s="222"/>
      <c r="BN93" s="248"/>
      <c r="BO93" s="248"/>
      <c r="BP93" s="222"/>
      <c r="BR93" s="13"/>
      <c r="BV93" s="4"/>
      <c r="BW93" s="4"/>
      <c r="BX93" s="4"/>
      <c r="CD93" s="108"/>
      <c r="CE93" s="108"/>
      <c r="CF93" s="108"/>
      <c r="CG93" s="27"/>
      <c r="CH93" s="49" t="s">
        <v>464</v>
      </c>
      <c r="CI93" s="49" t="s">
        <v>21</v>
      </c>
      <c r="CJ93" s="49">
        <v>40</v>
      </c>
      <c r="CK93" s="49" t="s">
        <v>216</v>
      </c>
      <c r="CL93" s="49" t="s">
        <v>90</v>
      </c>
      <c r="CM93" s="49"/>
      <c r="CN93" s="49"/>
      <c r="CO93" s="50" t="s">
        <v>112</v>
      </c>
      <c r="CP93" s="51" t="str">
        <f>T(記入シート1!I122)</f>
        <v/>
      </c>
      <c r="CQ93" s="2"/>
      <c r="CR93" s="45"/>
      <c r="CS93" s="45"/>
      <c r="CT93" s="45"/>
      <c r="CU93" s="45"/>
      <c r="CV93" s="10"/>
      <c r="CW93" s="618" t="s">
        <v>2153</v>
      </c>
      <c r="CX93" s="618"/>
      <c r="CY93" s="616" t="s">
        <v>736</v>
      </c>
      <c r="CZ93" s="617" t="s">
        <v>1112</v>
      </c>
      <c r="DA93" s="616"/>
      <c r="DB93" s="71" t="str">
        <f t="shared" si="15"/>
        <v>938</v>
      </c>
      <c r="DC93" s="619" t="s">
        <v>2166</v>
      </c>
      <c r="DD93" s="72">
        <f>IF(AV65=TRUE,1,0)</f>
        <v>1</v>
      </c>
      <c r="DE93" s="110"/>
      <c r="DF93" s="64"/>
      <c r="DG93" s="64"/>
      <c r="DH93" s="436" t="s">
        <v>2244</v>
      </c>
      <c r="DI93" s="436" t="s">
        <v>3219</v>
      </c>
      <c r="DJ93" s="626"/>
      <c r="DK93" s="75" t="str">
        <f t="shared" si="14"/>
        <v>93701Q13</v>
      </c>
      <c r="DL93" s="78" t="s">
        <v>3357</v>
      </c>
      <c r="DM93" s="78" t="s">
        <v>3359</v>
      </c>
      <c r="DN93" s="627" t="str">
        <f>ASC(記入シート1!I43)</f>
        <v/>
      </c>
      <c r="DV93" s="27"/>
      <c r="DX93" s="85"/>
      <c r="DY93" s="85"/>
    </row>
    <row r="94" spans="1:129" ht="19.5" hidden="1" customHeight="1" thickTop="1">
      <c r="A94" s="354" t="s">
        <v>3836</v>
      </c>
      <c r="B94" s="181"/>
      <c r="C94" s="1994" t="s">
        <v>976</v>
      </c>
      <c r="D94" s="1995"/>
      <c r="E94" s="1995"/>
      <c r="F94" s="1995"/>
      <c r="G94" s="1995"/>
      <c r="H94" s="1995"/>
      <c r="I94" s="1996"/>
      <c r="J94" s="1998" t="s">
        <v>972</v>
      </c>
      <c r="K94" s="1998"/>
      <c r="L94" s="2000" t="s">
        <v>980</v>
      </c>
      <c r="M94" s="2001"/>
      <c r="N94" s="2001"/>
      <c r="O94" s="2001"/>
      <c r="P94" s="2002"/>
      <c r="Q94" s="2006" t="s">
        <v>951</v>
      </c>
      <c r="R94" s="2006"/>
      <c r="S94" s="2006"/>
      <c r="T94" s="2006"/>
      <c r="U94" s="2006"/>
      <c r="V94" s="2006"/>
      <c r="W94" s="2006"/>
      <c r="X94" s="2006"/>
      <c r="Y94" s="2007" t="s">
        <v>983</v>
      </c>
      <c r="Z94" s="2007"/>
      <c r="AA94" s="2007"/>
      <c r="AB94" s="2007"/>
      <c r="AC94" s="2007"/>
      <c r="AD94" s="2007"/>
      <c r="AE94" s="2007"/>
      <c r="AF94" s="2008"/>
      <c r="AG94" s="2009" t="s">
        <v>850</v>
      </c>
      <c r="AH94" s="2010"/>
      <c r="AI94" s="2010"/>
      <c r="AJ94" s="2010"/>
      <c r="AK94" s="2010"/>
      <c r="AL94" s="2010"/>
      <c r="AM94" s="2010"/>
      <c r="AN94" s="2010"/>
      <c r="AO94" s="2010"/>
      <c r="AP94" s="2010"/>
      <c r="AQ94" s="2010"/>
      <c r="AR94" s="2010"/>
      <c r="AS94" s="2010"/>
      <c r="AT94" s="2011"/>
      <c r="AU94" s="171"/>
      <c r="AW94" s="257">
        <f>IF(AV96=TRUE,AV96*1,0)</f>
        <v>0</v>
      </c>
      <c r="AX94" s="257" t="str">
        <f>IF(AV96=TRUE,"端末登録月額固定費単価","")</f>
        <v/>
      </c>
      <c r="AY94" s="257"/>
      <c r="AZ94" s="257">
        <f>IF(SUM(AW94:AW95)&gt;0,1,0)</f>
        <v>0</v>
      </c>
      <c r="BA94" s="258"/>
      <c r="BB94" s="259" t="str">
        <f>BB22</f>
        <v>14</v>
      </c>
      <c r="BC94" s="259" t="s">
        <v>970</v>
      </c>
      <c r="BD94" s="258">
        <f>ROW(AV96)</f>
        <v>96</v>
      </c>
      <c r="BE94" s="258"/>
      <c r="BF94" s="260" t="str">
        <f>"106"&amp;BC94&amp;6</f>
        <v>106106066</v>
      </c>
      <c r="BG94" s="261"/>
      <c r="BH94" s="262" t="str">
        <f>AX94&amp;"→"</f>
        <v>→</v>
      </c>
      <c r="BI94" s="263">
        <v>10601</v>
      </c>
      <c r="BJ94" s="264">
        <f>AW94</f>
        <v>0</v>
      </c>
      <c r="BK94" s="50">
        <f>AZ94</f>
        <v>0</v>
      </c>
      <c r="BL94" s="1979">
        <v>0</v>
      </c>
      <c r="BM94" s="1979">
        <v>0</v>
      </c>
      <c r="BN94" s="267">
        <v>0</v>
      </c>
      <c r="BO94" s="267">
        <v>0</v>
      </c>
      <c r="BP94" s="265" t="str">
        <f>IF($AW94=0,"",Q96)</f>
        <v/>
      </c>
      <c r="BR94" s="50">
        <v>106</v>
      </c>
      <c r="BV94" s="4"/>
      <c r="BW94" s="4"/>
      <c r="BX94" s="4"/>
      <c r="CD94" s="108"/>
      <c r="CE94" s="108"/>
      <c r="CF94" s="108"/>
      <c r="CG94" s="27"/>
      <c r="CH94" s="49" t="s">
        <v>107</v>
      </c>
      <c r="CI94" s="49" t="s">
        <v>21</v>
      </c>
      <c r="CJ94" s="49">
        <v>40</v>
      </c>
      <c r="CK94" s="49" t="s">
        <v>83</v>
      </c>
      <c r="CL94" s="49" t="s">
        <v>83</v>
      </c>
      <c r="CM94" s="49"/>
      <c r="CN94" s="49"/>
      <c r="CO94" s="50" t="s">
        <v>106</v>
      </c>
      <c r="CP94" s="51" t="str">
        <f>T(記入シート1!AE121)</f>
        <v/>
      </c>
      <c r="CQ94" s="2"/>
      <c r="CR94" s="45"/>
      <c r="CS94" s="45"/>
      <c r="CT94" s="45"/>
      <c r="CU94" s="45"/>
      <c r="CV94" s="10"/>
      <c r="CW94" s="618" t="s">
        <v>2154</v>
      </c>
      <c r="CX94" s="618"/>
      <c r="CY94" s="616" t="s">
        <v>736</v>
      </c>
      <c r="CZ94" s="617" t="s">
        <v>1112</v>
      </c>
      <c r="DA94" s="616"/>
      <c r="DB94" s="71" t="str">
        <f t="shared" si="15"/>
        <v>939</v>
      </c>
      <c r="DC94" s="619" t="s">
        <v>2167</v>
      </c>
      <c r="DD94" s="72">
        <f>IF(AV67=TRUE,1,0)</f>
        <v>1</v>
      </c>
      <c r="DE94" s="110"/>
      <c r="DF94" s="64"/>
      <c r="DG94" s="64"/>
      <c r="DH94" s="436" t="s">
        <v>2153</v>
      </c>
      <c r="DI94" s="436" t="s">
        <v>3220</v>
      </c>
      <c r="DJ94" s="626"/>
      <c r="DK94" s="75" t="str">
        <f t="shared" si="14"/>
        <v>93801Q22</v>
      </c>
      <c r="DL94" s="78" t="s">
        <v>3360</v>
      </c>
      <c r="DM94" s="78" t="s">
        <v>3361</v>
      </c>
      <c r="DN94" s="627" t="str">
        <f>ASC(AN65)</f>
        <v/>
      </c>
      <c r="DV94" s="27"/>
      <c r="DX94" s="85"/>
      <c r="DY94" s="85"/>
    </row>
    <row r="95" spans="1:129" ht="19.5" hidden="1" customHeight="1">
      <c r="A95" s="354" t="s">
        <v>3836</v>
      </c>
      <c r="B95" s="181"/>
      <c r="C95" s="1997"/>
      <c r="D95" s="1467"/>
      <c r="E95" s="1467"/>
      <c r="F95" s="1467"/>
      <c r="G95" s="1467"/>
      <c r="H95" s="1467"/>
      <c r="I95" s="1469"/>
      <c r="J95" s="1999"/>
      <c r="K95" s="1999"/>
      <c r="L95" s="2003"/>
      <c r="M95" s="2004"/>
      <c r="N95" s="2004"/>
      <c r="O95" s="2004"/>
      <c r="P95" s="2005"/>
      <c r="Q95" s="1980" t="s">
        <v>979</v>
      </c>
      <c r="R95" s="1980"/>
      <c r="S95" s="1980"/>
      <c r="T95" s="1980"/>
      <c r="U95" s="1981" t="s">
        <v>984</v>
      </c>
      <c r="V95" s="1981"/>
      <c r="W95" s="1981"/>
      <c r="X95" s="1981"/>
      <c r="Y95" s="1981" t="s">
        <v>985</v>
      </c>
      <c r="Z95" s="1981"/>
      <c r="AA95" s="1981"/>
      <c r="AB95" s="1981"/>
      <c r="AC95" s="1982" t="s">
        <v>986</v>
      </c>
      <c r="AD95" s="1982"/>
      <c r="AE95" s="1982"/>
      <c r="AF95" s="1983"/>
      <c r="AG95" s="2012"/>
      <c r="AH95" s="1797"/>
      <c r="AI95" s="1797"/>
      <c r="AJ95" s="1797"/>
      <c r="AK95" s="1797"/>
      <c r="AL95" s="1797"/>
      <c r="AM95" s="1797"/>
      <c r="AN95" s="1797"/>
      <c r="AO95" s="1797"/>
      <c r="AP95" s="1797"/>
      <c r="AQ95" s="1797"/>
      <c r="AR95" s="1797"/>
      <c r="AS95" s="1797"/>
      <c r="AT95" s="2013"/>
      <c r="AU95" s="171"/>
      <c r="AW95" s="257">
        <f>$AW$94</f>
        <v>0</v>
      </c>
      <c r="AX95" s="257" t="str">
        <f>IF(AV96=TRUE,"端末登録トランザクション費","")</f>
        <v/>
      </c>
      <c r="AY95" s="257"/>
      <c r="AZ95" s="257">
        <f>AZ94</f>
        <v>0</v>
      </c>
      <c r="BA95" s="258"/>
      <c r="BB95" s="259" t="str">
        <f>BB94</f>
        <v>14</v>
      </c>
      <c r="BC95" s="259" t="s">
        <v>971</v>
      </c>
      <c r="BD95" s="258">
        <f>ROW(AV96)</f>
        <v>96</v>
      </c>
      <c r="BE95" s="258"/>
      <c r="BF95" s="260" t="str">
        <f>"106"&amp;BC95&amp;7</f>
        <v>106106077</v>
      </c>
      <c r="BG95" s="261"/>
      <c r="BH95" s="268" t="str">
        <f>AX95&amp;"→"</f>
        <v>→</v>
      </c>
      <c r="BI95" s="263">
        <v>10601</v>
      </c>
      <c r="BJ95" s="261">
        <f>AW95</f>
        <v>0</v>
      </c>
      <c r="BK95" s="50">
        <f>AZ95</f>
        <v>0</v>
      </c>
      <c r="BL95" s="1979"/>
      <c r="BM95" s="1979"/>
      <c r="BN95" s="267">
        <v>0</v>
      </c>
      <c r="BO95" s="267">
        <v>0</v>
      </c>
      <c r="BP95" s="265" t="str">
        <f>IF($AW95=0,"",Y96)</f>
        <v/>
      </c>
      <c r="BR95" s="50">
        <v>106</v>
      </c>
      <c r="BW95" s="4"/>
      <c r="BX95" s="4"/>
      <c r="CD95" s="108"/>
      <c r="CE95" s="108"/>
      <c r="CF95" s="108"/>
      <c r="CG95" s="27"/>
      <c r="CH95" s="49" t="s">
        <v>465</v>
      </c>
      <c r="CI95" s="49" t="s">
        <v>22</v>
      </c>
      <c r="CJ95" s="49">
        <v>15</v>
      </c>
      <c r="CK95" s="49" t="s">
        <v>216</v>
      </c>
      <c r="CL95" s="49" t="s">
        <v>90</v>
      </c>
      <c r="CM95" s="49"/>
      <c r="CN95" s="49"/>
      <c r="CO95" s="50" t="s">
        <v>105</v>
      </c>
      <c r="CP95" s="51" t="str">
        <f>IF(OR(記入シート1!AE122="",記入シート1!AK122="",記入シート1!AP122=""),"",ASC(記入シート1!AE122)&amp;"-"&amp;ASC(記入シート1!AK122)&amp;"-"&amp;ASC(記入シート1!AP122))</f>
        <v/>
      </c>
      <c r="CQ95" s="2"/>
      <c r="CR95" s="45"/>
      <c r="CS95" s="45"/>
      <c r="CT95" s="45"/>
      <c r="CU95" s="45"/>
      <c r="CV95" s="10"/>
      <c r="CW95" s="618" t="s">
        <v>2157</v>
      </c>
      <c r="CX95" s="618"/>
      <c r="CY95" s="616" t="s">
        <v>736</v>
      </c>
      <c r="CZ95" s="617" t="s">
        <v>1112</v>
      </c>
      <c r="DA95" s="616"/>
      <c r="DB95" s="71" t="str">
        <f t="shared" si="15"/>
        <v>942</v>
      </c>
      <c r="DC95" s="619" t="s">
        <v>2168</v>
      </c>
      <c r="DD95" s="72">
        <f>IF(AV71=TRUE,1,0)</f>
        <v>1</v>
      </c>
      <c r="DE95" s="110"/>
      <c r="DF95" s="64"/>
      <c r="DG95" s="64"/>
      <c r="DH95" s="436" t="s">
        <v>2153</v>
      </c>
      <c r="DI95" s="436" t="s">
        <v>3221</v>
      </c>
      <c r="DJ95" s="626"/>
      <c r="DK95" s="75" t="str">
        <f t="shared" si="14"/>
        <v>93801Q23</v>
      </c>
      <c r="DL95" s="78" t="s">
        <v>3360</v>
      </c>
      <c r="DM95" s="78" t="s">
        <v>3362</v>
      </c>
      <c r="DN95" s="627" t="str">
        <f>UPPER(ASC(記入シート1!AE31))</f>
        <v/>
      </c>
      <c r="DV95" s="27"/>
      <c r="DX95" s="85"/>
      <c r="DY95" s="85"/>
    </row>
    <row r="96" spans="1:129" ht="19.5" hidden="1" customHeight="1">
      <c r="A96" s="354" t="s">
        <v>3836</v>
      </c>
      <c r="B96" s="181"/>
      <c r="C96" s="1876" t="s">
        <v>977</v>
      </c>
      <c r="D96" s="1948"/>
      <c r="E96" s="1948"/>
      <c r="F96" s="1948"/>
      <c r="G96" s="1948"/>
      <c r="H96" s="1948"/>
      <c r="I96" s="1948"/>
      <c r="J96" s="1948"/>
      <c r="K96" s="1948"/>
      <c r="L96" s="1955">
        <v>0</v>
      </c>
      <c r="M96" s="1956"/>
      <c r="N96" s="1956"/>
      <c r="O96" s="1956"/>
      <c r="P96" s="1956"/>
      <c r="Q96" s="1957">
        <v>0</v>
      </c>
      <c r="R96" s="1957"/>
      <c r="S96" s="1957"/>
      <c r="T96" s="1957"/>
      <c r="U96" s="1958">
        <f>Q96*AA126</f>
        <v>0</v>
      </c>
      <c r="V96" s="1958"/>
      <c r="W96" s="1958"/>
      <c r="X96" s="1958"/>
      <c r="Y96" s="1959">
        <v>0</v>
      </c>
      <c r="Z96" s="1960"/>
      <c r="AA96" s="1960"/>
      <c r="AB96" s="1960"/>
      <c r="AC96" s="1960"/>
      <c r="AD96" s="2505" t="s">
        <v>1000</v>
      </c>
      <c r="AE96" s="2505"/>
      <c r="AF96" s="2506"/>
      <c r="AG96" s="2507" t="s">
        <v>1006</v>
      </c>
      <c r="AH96" s="2508"/>
      <c r="AI96" s="2508"/>
      <c r="AJ96" s="2508"/>
      <c r="AK96" s="2508"/>
      <c r="AL96" s="2508"/>
      <c r="AM96" s="2508"/>
      <c r="AN96" s="2508"/>
      <c r="AO96" s="2508"/>
      <c r="AP96" s="2508"/>
      <c r="AQ96" s="2508"/>
      <c r="AR96" s="2508"/>
      <c r="AS96" s="2508"/>
      <c r="AT96" s="2509"/>
      <c r="AU96" s="171"/>
      <c r="AV96" s="151" t="b">
        <v>0</v>
      </c>
      <c r="AW96" s="274">
        <f>IF(AV97=TRUE,AV97*1,0)</f>
        <v>0</v>
      </c>
      <c r="AX96" s="257" t="str">
        <f>IF(AV97=TRUE,"端末登録月額固定費　単価","")</f>
        <v/>
      </c>
      <c r="AY96" s="282" t="str">
        <f>TEXT(BR96,"000")</f>
        <v>707</v>
      </c>
      <c r="AZ96" s="274">
        <f>IF(SUM(AW96:AW97)&gt;0,1,0)</f>
        <v>0</v>
      </c>
      <c r="BA96" s="50"/>
      <c r="BB96" s="106" t="s">
        <v>995</v>
      </c>
      <c r="BC96" s="106" t="s">
        <v>992</v>
      </c>
      <c r="BD96" s="258">
        <f>ROW($AV$97)</f>
        <v>97</v>
      </c>
      <c r="BE96" s="50"/>
      <c r="BF96" s="275" t="str">
        <f>"707"&amp;BC96&amp;8</f>
        <v>707707018</v>
      </c>
      <c r="BG96" s="264"/>
      <c r="BH96" s="262" t="str">
        <f>AX96&amp;"→"</f>
        <v>→</v>
      </c>
      <c r="BI96" s="276">
        <v>70601</v>
      </c>
      <c r="BJ96" s="264">
        <f>AW96</f>
        <v>0</v>
      </c>
      <c r="BK96" s="50">
        <f>AZ96</f>
        <v>0</v>
      </c>
      <c r="BL96" s="1945">
        <v>0</v>
      </c>
      <c r="BM96" s="1945">
        <v>0</v>
      </c>
      <c r="BN96" s="267">
        <v>0</v>
      </c>
      <c r="BO96" s="267">
        <v>0</v>
      </c>
      <c r="BP96" s="265" t="str">
        <f>IF($AW96=0,"",Q97)</f>
        <v/>
      </c>
      <c r="BR96" s="50">
        <v>707</v>
      </c>
      <c r="BW96" s="4"/>
      <c r="BX96" s="4"/>
      <c r="CD96" s="108"/>
      <c r="CE96" s="108"/>
      <c r="CF96" s="108"/>
      <c r="CG96" s="27"/>
      <c r="CH96" s="49" t="s">
        <v>467</v>
      </c>
      <c r="CI96" s="49" t="s">
        <v>22</v>
      </c>
      <c r="CJ96" s="49">
        <v>128</v>
      </c>
      <c r="CK96" s="49" t="s">
        <v>216</v>
      </c>
      <c r="CL96" s="49" t="s">
        <v>90</v>
      </c>
      <c r="CM96" s="49"/>
      <c r="CN96" s="49"/>
      <c r="CO96" s="50" t="s">
        <v>102</v>
      </c>
      <c r="CP96" s="51" t="str">
        <f>ASC(記入シート1!AE123)</f>
        <v/>
      </c>
      <c r="CQ96" s="2"/>
      <c r="CR96" s="45"/>
      <c r="CS96" s="45"/>
      <c r="CT96" s="45"/>
      <c r="CU96" s="45"/>
      <c r="CV96" s="10"/>
      <c r="CW96" s="618" t="s">
        <v>2156</v>
      </c>
      <c r="CX96" s="618"/>
      <c r="CY96" s="616" t="s">
        <v>736</v>
      </c>
      <c r="CZ96" s="617" t="s">
        <v>1112</v>
      </c>
      <c r="DA96" s="616"/>
      <c r="DB96" s="687" t="s">
        <v>2024</v>
      </c>
      <c r="DC96" s="619"/>
      <c r="DD96" s="623"/>
      <c r="DE96" s="110"/>
      <c r="DF96" s="64"/>
      <c r="DG96" s="64"/>
      <c r="DH96" s="436" t="s">
        <v>2153</v>
      </c>
      <c r="DI96" s="436" t="s">
        <v>3222</v>
      </c>
      <c r="DJ96" s="626"/>
      <c r="DK96" s="75" t="str">
        <f t="shared" si="14"/>
        <v>93801Q24</v>
      </c>
      <c r="DL96" s="78" t="s">
        <v>3360</v>
      </c>
      <c r="DM96" s="78" t="s">
        <v>3363</v>
      </c>
      <c r="DN96" s="627" t="str">
        <f>IF(OR(AV66="00",AV66=""),"",ASC(AV66))</f>
        <v>05</v>
      </c>
      <c r="DV96" s="27"/>
      <c r="DX96" s="85"/>
      <c r="DY96" s="85"/>
    </row>
    <row r="97" spans="1:129" ht="19.5" hidden="1" customHeight="1" thickBot="1">
      <c r="A97" s="354" t="s">
        <v>3836</v>
      </c>
      <c r="B97" s="181"/>
      <c r="C97" s="1876" t="s">
        <v>987</v>
      </c>
      <c r="D97" s="1948"/>
      <c r="E97" s="1948"/>
      <c r="F97" s="1948"/>
      <c r="G97" s="1948"/>
      <c r="H97" s="1948"/>
      <c r="I97" s="1948"/>
      <c r="J97" s="1948"/>
      <c r="K97" s="1948"/>
      <c r="L97" s="1949">
        <v>0</v>
      </c>
      <c r="M97" s="1950"/>
      <c r="N97" s="1950"/>
      <c r="O97" s="1950"/>
      <c r="P97" s="1950"/>
      <c r="Q97" s="1951">
        <v>0</v>
      </c>
      <c r="R97" s="1951"/>
      <c r="S97" s="1951"/>
      <c r="T97" s="1951"/>
      <c r="U97" s="1952">
        <f>Q97*AA126</f>
        <v>0</v>
      </c>
      <c r="V97" s="1952"/>
      <c r="W97" s="1952"/>
      <c r="X97" s="1952"/>
      <c r="Y97" s="1953">
        <v>0</v>
      </c>
      <c r="Z97" s="1954"/>
      <c r="AA97" s="1954"/>
      <c r="AB97" s="281" t="s">
        <v>1000</v>
      </c>
      <c r="AC97" s="1961">
        <v>0</v>
      </c>
      <c r="AD97" s="1962"/>
      <c r="AE97" s="1962"/>
      <c r="AF97" s="280" t="s">
        <v>1000</v>
      </c>
      <c r="AG97" s="2510"/>
      <c r="AH97" s="2511"/>
      <c r="AI97" s="2511"/>
      <c r="AJ97" s="2511"/>
      <c r="AK97" s="2511"/>
      <c r="AL97" s="2511"/>
      <c r="AM97" s="2511"/>
      <c r="AN97" s="2511"/>
      <c r="AO97" s="2511"/>
      <c r="AP97" s="2511"/>
      <c r="AQ97" s="2511"/>
      <c r="AR97" s="2511"/>
      <c r="AS97" s="2511"/>
      <c r="AT97" s="2512"/>
      <c r="AU97" s="171"/>
      <c r="AV97" s="151" t="b">
        <v>0</v>
      </c>
      <c r="AW97" s="274">
        <f>$AW$96</f>
        <v>0</v>
      </c>
      <c r="AX97" s="257" t="str">
        <f>IF(AV97=TRUE,"端末登録　登録トランザクション費用(正常完了)","")</f>
        <v/>
      </c>
      <c r="AY97" s="274"/>
      <c r="AZ97" s="274">
        <f>AZ96</f>
        <v>0</v>
      </c>
      <c r="BA97" s="50"/>
      <c r="BB97" s="106" t="str">
        <f>BB96</f>
        <v>00</v>
      </c>
      <c r="BC97" s="106" t="s">
        <v>993</v>
      </c>
      <c r="BD97" s="258">
        <f>ROW($AV$97)</f>
        <v>97</v>
      </c>
      <c r="BE97" s="50"/>
      <c r="BF97" s="275" t="str">
        <f>"707"&amp;BC97&amp;9</f>
        <v>707707029</v>
      </c>
      <c r="BG97" s="264"/>
      <c r="BH97" s="262" t="str">
        <f>AX97&amp;"→"</f>
        <v>→</v>
      </c>
      <c r="BI97" s="276">
        <v>70601</v>
      </c>
      <c r="BJ97" s="264">
        <f>AW97</f>
        <v>0</v>
      </c>
      <c r="BK97" s="50">
        <f>AZ97</f>
        <v>0</v>
      </c>
      <c r="BL97" s="1946"/>
      <c r="BM97" s="1946"/>
      <c r="BN97" s="267">
        <v>0</v>
      </c>
      <c r="BO97" s="267">
        <v>0</v>
      </c>
      <c r="BP97" s="265" t="str">
        <f>IF($AW97=0,"",Y97)</f>
        <v/>
      </c>
      <c r="BR97" s="50">
        <v>707</v>
      </c>
      <c r="BX97" s="4"/>
      <c r="CD97" s="108"/>
      <c r="CE97" s="108"/>
      <c r="CF97" s="108"/>
      <c r="CG97" s="27"/>
      <c r="CH97" s="49" t="s">
        <v>468</v>
      </c>
      <c r="CI97" s="49" t="s">
        <v>22</v>
      </c>
      <c r="CJ97" s="49">
        <v>40</v>
      </c>
      <c r="CK97" s="49" t="s">
        <v>216</v>
      </c>
      <c r="CL97" s="49" t="s">
        <v>90</v>
      </c>
      <c r="CM97" s="49"/>
      <c r="CN97" s="49"/>
      <c r="CO97" s="50" t="s">
        <v>99</v>
      </c>
      <c r="CP97" s="51" t="str">
        <f>ASC(SUBSTITUTE(SUBSTITUTE(記入シート1!I124,"ヴ","ウﾞ"),"・",""))</f>
        <v/>
      </c>
      <c r="CQ97" s="2"/>
      <c r="CR97" s="45"/>
      <c r="CS97" s="45"/>
      <c r="CT97" s="45"/>
      <c r="CU97" s="45"/>
      <c r="CV97" s="10"/>
      <c r="CW97" s="618"/>
      <c r="CX97" s="618"/>
      <c r="CY97" s="616"/>
      <c r="CZ97" s="617"/>
      <c r="DA97" s="616"/>
      <c r="DB97" s="71"/>
      <c r="DC97" s="619"/>
      <c r="DD97" s="72"/>
      <c r="DE97" s="110"/>
      <c r="DF97" s="64"/>
      <c r="DG97" s="64"/>
      <c r="DH97" s="436" t="s">
        <v>2153</v>
      </c>
      <c r="DI97" s="436" t="s">
        <v>3223</v>
      </c>
      <c r="DJ97" s="436" t="s">
        <v>3350</v>
      </c>
      <c r="DK97" s="75" t="str">
        <f t="shared" si="14"/>
        <v>93801Q25</v>
      </c>
      <c r="DL97" s="78" t="s">
        <v>3360</v>
      </c>
      <c r="DM97" s="78" t="s">
        <v>3364</v>
      </c>
      <c r="DN97" s="627" t="str">
        <f>IF(AW66=1,"0","1")</f>
        <v>0</v>
      </c>
      <c r="DV97" s="27"/>
      <c r="DX97" s="85"/>
      <c r="DY97" s="85"/>
    </row>
    <row r="98" spans="1:129" ht="19.5" hidden="1" customHeight="1" thickTop="1">
      <c r="A98" s="354" t="s">
        <v>3836</v>
      </c>
      <c r="B98" s="181"/>
      <c r="C98" s="1963" t="s">
        <v>988</v>
      </c>
      <c r="D98" s="1964"/>
      <c r="E98" s="1964"/>
      <c r="F98" s="1964"/>
      <c r="G98" s="1964"/>
      <c r="H98" s="1969"/>
      <c r="I98" s="1969"/>
      <c r="J98" s="1969"/>
      <c r="K98" s="1970"/>
      <c r="L98" s="1971" t="s">
        <v>998</v>
      </c>
      <c r="M98" s="1972"/>
      <c r="N98" s="1973"/>
      <c r="O98" s="1974" t="s">
        <v>999</v>
      </c>
      <c r="P98" s="1975"/>
      <c r="Q98" s="1974" t="s">
        <v>981</v>
      </c>
      <c r="R98" s="1976"/>
      <c r="S98" s="1976"/>
      <c r="T98" s="1976"/>
      <c r="U98" s="1976"/>
      <c r="V98" s="1976"/>
      <c r="W98" s="1976"/>
      <c r="X98" s="1975"/>
      <c r="Y98" s="1974" t="s">
        <v>978</v>
      </c>
      <c r="Z98" s="1976"/>
      <c r="AA98" s="1976"/>
      <c r="AB98" s="1976"/>
      <c r="AC98" s="1976"/>
      <c r="AD98" s="1976"/>
      <c r="AE98" s="1976"/>
      <c r="AF98" s="1975"/>
      <c r="AG98" s="1974" t="s">
        <v>982</v>
      </c>
      <c r="AH98" s="1976"/>
      <c r="AI98" s="1976"/>
      <c r="AJ98" s="1976"/>
      <c r="AK98" s="1976"/>
      <c r="AL98" s="1976"/>
      <c r="AM98" s="1976"/>
      <c r="AN98" s="1976"/>
      <c r="AO98" s="1976"/>
      <c r="AP98" s="1976"/>
      <c r="AQ98" s="1976"/>
      <c r="AR98" s="1976"/>
      <c r="AS98" s="1976"/>
      <c r="AT98" s="2513"/>
      <c r="AU98" s="171"/>
      <c r="AW98" s="274">
        <f>$AW$96</f>
        <v>0</v>
      </c>
      <c r="AX98" s="274" t="str">
        <f>IF(AV97=TRUE,"端末登録　登録トランザクション費用(未完了)","")</f>
        <v/>
      </c>
      <c r="AY98" s="274"/>
      <c r="AZ98" s="274">
        <f>AZ97</f>
        <v>0</v>
      </c>
      <c r="BA98" s="50"/>
      <c r="BB98" s="106" t="str">
        <f>BB97</f>
        <v>00</v>
      </c>
      <c r="BC98" s="106" t="s">
        <v>994</v>
      </c>
      <c r="BD98" s="50">
        <f>ROW($AV$97)</f>
        <v>97</v>
      </c>
      <c r="BE98" s="50"/>
      <c r="BF98" s="275" t="str">
        <f>"707"&amp;BC98&amp;10</f>
        <v>7077070310</v>
      </c>
      <c r="BG98" s="264"/>
      <c r="BH98" s="262" t="str">
        <f>AX98&amp;"→"</f>
        <v>→</v>
      </c>
      <c r="BI98" s="276">
        <v>70601</v>
      </c>
      <c r="BJ98" s="264">
        <f>AW98</f>
        <v>0</v>
      </c>
      <c r="BK98" s="50">
        <f>AZ98</f>
        <v>0</v>
      </c>
      <c r="BL98" s="1947"/>
      <c r="BM98" s="1947"/>
      <c r="BN98" s="267">
        <v>0</v>
      </c>
      <c r="BO98" s="267">
        <v>0</v>
      </c>
      <c r="BP98" s="265" t="str">
        <f>IF($AW98=0,"",AC97)</f>
        <v/>
      </c>
      <c r="BR98" s="50">
        <v>707</v>
      </c>
      <c r="BX98" s="4"/>
      <c r="CD98" s="108"/>
      <c r="CE98" s="108"/>
      <c r="CF98" s="108"/>
      <c r="CG98" s="27"/>
      <c r="CH98" s="49" t="s">
        <v>101</v>
      </c>
      <c r="CI98" s="49" t="s">
        <v>21</v>
      </c>
      <c r="CJ98" s="49">
        <v>40</v>
      </c>
      <c r="CK98" s="49" t="s">
        <v>216</v>
      </c>
      <c r="CL98" s="49" t="s">
        <v>90</v>
      </c>
      <c r="CM98" s="49"/>
      <c r="CN98" s="49"/>
      <c r="CO98" s="50" t="s">
        <v>100</v>
      </c>
      <c r="CP98" s="51" t="str">
        <f>T(記入シート1!I125)</f>
        <v/>
      </c>
      <c r="CQ98" s="2"/>
      <c r="CR98" s="45"/>
      <c r="CS98" s="45"/>
      <c r="CT98" s="45"/>
      <c r="CU98" s="45"/>
      <c r="CV98" s="10"/>
      <c r="CW98" s="618"/>
      <c r="CX98" s="618"/>
      <c r="CY98" s="616"/>
      <c r="CZ98" s="617"/>
      <c r="DA98" s="616"/>
      <c r="DB98" s="618"/>
      <c r="DC98" s="618"/>
      <c r="DD98" s="618"/>
      <c r="DE98" s="110"/>
      <c r="DF98" s="64"/>
      <c r="DG98" s="64"/>
      <c r="DH98" s="436" t="s">
        <v>2154</v>
      </c>
      <c r="DI98" s="436" t="s">
        <v>3224</v>
      </c>
      <c r="DJ98" s="626"/>
      <c r="DK98" s="75" t="str">
        <f t="shared" si="14"/>
        <v>93901Q32</v>
      </c>
      <c r="DL98" s="78" t="s">
        <v>3366</v>
      </c>
      <c r="DM98" s="78" t="s">
        <v>3367</v>
      </c>
      <c r="DN98" s="692" t="str">
        <f>""</f>
        <v/>
      </c>
      <c r="DV98" s="27"/>
      <c r="DX98" s="85"/>
      <c r="DY98" s="85"/>
    </row>
    <row r="99" spans="1:129" ht="19.5" hidden="1" customHeight="1">
      <c r="A99" s="354" t="s">
        <v>3836</v>
      </c>
      <c r="B99" s="181"/>
      <c r="C99" s="1965"/>
      <c r="D99" s="1966"/>
      <c r="E99" s="1966"/>
      <c r="F99" s="1966"/>
      <c r="G99" s="1966"/>
      <c r="H99" s="2514" t="s">
        <v>977</v>
      </c>
      <c r="I99" s="2515"/>
      <c r="J99" s="2515"/>
      <c r="K99" s="2516"/>
      <c r="L99" s="2517"/>
      <c r="M99" s="2517"/>
      <c r="N99" s="2517"/>
      <c r="O99" s="2517"/>
      <c r="P99" s="2517"/>
      <c r="Q99" s="2518"/>
      <c r="R99" s="2518"/>
      <c r="S99" s="2518"/>
      <c r="T99" s="2518"/>
      <c r="U99" s="2518"/>
      <c r="V99" s="2518"/>
      <c r="W99" s="2518"/>
      <c r="X99" s="2518"/>
      <c r="Y99" s="2518"/>
      <c r="Z99" s="2518"/>
      <c r="AA99" s="2518"/>
      <c r="AB99" s="2518"/>
      <c r="AC99" s="2518"/>
      <c r="AD99" s="2518"/>
      <c r="AE99" s="2518"/>
      <c r="AF99" s="2519"/>
      <c r="AG99" s="1900"/>
      <c r="AH99" s="1901"/>
      <c r="AI99" s="1904" t="s">
        <v>990</v>
      </c>
      <c r="AJ99" s="1905"/>
      <c r="AK99" s="1905"/>
      <c r="AL99" s="1905"/>
      <c r="AM99" s="1905"/>
      <c r="AN99" s="1905"/>
      <c r="AO99" s="1905"/>
      <c r="AP99" s="1905"/>
      <c r="AQ99" s="1905"/>
      <c r="AR99" s="1905"/>
      <c r="AS99" s="1905"/>
      <c r="AT99" s="1906"/>
      <c r="AU99" s="171"/>
      <c r="AV99" s="151" t="b">
        <v>0</v>
      </c>
      <c r="AW99" s="242"/>
      <c r="AX99" s="242"/>
      <c r="AY99" s="242"/>
      <c r="AZ99" s="242"/>
      <c r="BA99" s="13"/>
      <c r="BB99" s="243"/>
      <c r="BC99" s="243"/>
      <c r="BD99" s="13"/>
      <c r="BE99" s="13"/>
      <c r="BF99" s="244"/>
      <c r="BG99" s="245"/>
      <c r="BH99" s="246"/>
      <c r="BI99" s="247"/>
      <c r="BJ99" s="245"/>
      <c r="BK99" s="13"/>
      <c r="BL99" s="222"/>
      <c r="BM99" s="222"/>
      <c r="BN99" s="248"/>
      <c r="BO99" s="248"/>
      <c r="BP99" s="222"/>
      <c r="BR99" s="13"/>
      <c r="BX99" s="4"/>
      <c r="CD99" s="108"/>
      <c r="CE99" s="108"/>
      <c r="CF99" s="108"/>
      <c r="CG99" s="27"/>
      <c r="CH99" s="49" t="s">
        <v>469</v>
      </c>
      <c r="CI99" s="49" t="s">
        <v>21</v>
      </c>
      <c r="CJ99" s="49">
        <v>40</v>
      </c>
      <c r="CK99" s="49" t="s">
        <v>83</v>
      </c>
      <c r="CL99" s="49" t="s">
        <v>83</v>
      </c>
      <c r="CM99" s="49"/>
      <c r="CN99" s="49"/>
      <c r="CO99" s="50" t="s">
        <v>96</v>
      </c>
      <c r="CP99" s="51" t="str">
        <f>T(記入シート1!AE124)</f>
        <v/>
      </c>
      <c r="CQ99" s="2"/>
      <c r="CR99" s="45"/>
      <c r="CS99" s="45"/>
      <c r="CT99" s="45"/>
      <c r="CU99" s="45"/>
      <c r="CV99" s="10"/>
      <c r="CW99" s="620"/>
      <c r="CX99" s="620"/>
      <c r="CY99" s="621"/>
      <c r="CZ99" s="622"/>
      <c r="DA99" s="621"/>
      <c r="DB99" s="620"/>
      <c r="DC99" s="620"/>
      <c r="DD99" s="620"/>
      <c r="DE99" s="110"/>
      <c r="DF99" s="64"/>
      <c r="DG99" s="64"/>
      <c r="DH99" s="436" t="s">
        <v>2154</v>
      </c>
      <c r="DI99" s="436" t="s">
        <v>3225</v>
      </c>
      <c r="DJ99" s="626"/>
      <c r="DK99" s="75" t="str">
        <f t="shared" si="14"/>
        <v>93901Q33</v>
      </c>
      <c r="DL99" s="78" t="s">
        <v>3366</v>
      </c>
      <c r="DM99" s="78" t="s">
        <v>3368</v>
      </c>
      <c r="DN99" s="692" t="str">
        <f>""</f>
        <v/>
      </c>
      <c r="DV99" s="27"/>
      <c r="DX99" s="85"/>
      <c r="DY99" s="85"/>
    </row>
    <row r="100" spans="1:129" ht="19.5" hidden="1" customHeight="1" thickBot="1">
      <c r="A100" s="354" t="s">
        <v>3836</v>
      </c>
      <c r="B100" s="181"/>
      <c r="C100" s="1967"/>
      <c r="D100" s="1968"/>
      <c r="E100" s="1968"/>
      <c r="F100" s="1968"/>
      <c r="G100" s="1968"/>
      <c r="H100" s="1910" t="s">
        <v>989</v>
      </c>
      <c r="I100" s="1911"/>
      <c r="J100" s="1911"/>
      <c r="K100" s="1912"/>
      <c r="L100" s="1913"/>
      <c r="M100" s="1913"/>
      <c r="N100" s="1913"/>
      <c r="O100" s="1913"/>
      <c r="P100" s="1913"/>
      <c r="Q100" s="1977"/>
      <c r="R100" s="1977"/>
      <c r="S100" s="1977"/>
      <c r="T100" s="1977"/>
      <c r="U100" s="1977"/>
      <c r="V100" s="1977"/>
      <c r="W100" s="1977"/>
      <c r="X100" s="1977"/>
      <c r="Y100" s="1977"/>
      <c r="Z100" s="1977"/>
      <c r="AA100" s="1977"/>
      <c r="AB100" s="1977"/>
      <c r="AC100" s="1977"/>
      <c r="AD100" s="1977"/>
      <c r="AE100" s="1977"/>
      <c r="AF100" s="1978"/>
      <c r="AG100" s="1902"/>
      <c r="AH100" s="1903"/>
      <c r="AI100" s="1907"/>
      <c r="AJ100" s="1908"/>
      <c r="AK100" s="1908"/>
      <c r="AL100" s="1908"/>
      <c r="AM100" s="1908"/>
      <c r="AN100" s="1908"/>
      <c r="AO100" s="1908"/>
      <c r="AP100" s="1908"/>
      <c r="AQ100" s="1908"/>
      <c r="AR100" s="1908"/>
      <c r="AS100" s="1908"/>
      <c r="AT100" s="1909"/>
      <c r="AU100" s="171"/>
      <c r="AW100" s="242"/>
      <c r="AX100" s="242"/>
      <c r="AY100" s="242"/>
      <c r="AZ100" s="242"/>
      <c r="BA100" s="13"/>
      <c r="BB100" s="243"/>
      <c r="BC100" s="243"/>
      <c r="BD100" s="13"/>
      <c r="BE100" s="13"/>
      <c r="BF100" s="244"/>
      <c r="BG100" s="245"/>
      <c r="BH100" s="246"/>
      <c r="BI100" s="247"/>
      <c r="BJ100" s="245"/>
      <c r="BK100" s="13"/>
      <c r="BL100" s="222"/>
      <c r="BM100" s="222"/>
      <c r="BN100" s="248"/>
      <c r="BO100" s="248"/>
      <c r="BP100" s="222"/>
      <c r="BR100" s="13"/>
      <c r="BX100" s="4"/>
      <c r="CD100" s="108"/>
      <c r="CE100" s="108"/>
      <c r="CF100" s="108"/>
      <c r="CG100" s="27"/>
      <c r="CH100" s="49" t="s">
        <v>470</v>
      </c>
      <c r="CI100" s="49" t="s">
        <v>22</v>
      </c>
      <c r="CJ100" s="49">
        <v>15</v>
      </c>
      <c r="CK100" s="49" t="s">
        <v>216</v>
      </c>
      <c r="CL100" s="49" t="s">
        <v>90</v>
      </c>
      <c r="CM100" s="49"/>
      <c r="CN100" s="49"/>
      <c r="CO100" s="50" t="s">
        <v>95</v>
      </c>
      <c r="CP100" s="51" t="str">
        <f>ASC(記入シート1!AE125)&amp;"-"&amp;ASC(記入シート1!AK125)&amp;"-"&amp;ASC(記入シート1!AP125)</f>
        <v>--</v>
      </c>
      <c r="CQ100" s="2"/>
      <c r="CR100" s="45"/>
      <c r="CS100" s="45"/>
      <c r="CT100" s="45"/>
      <c r="CU100" s="45"/>
      <c r="CV100" s="10"/>
      <c r="CW100" s="32"/>
      <c r="CX100" s="32"/>
      <c r="CY100" s="31"/>
      <c r="CZ100" s="33"/>
      <c r="DA100" s="31"/>
      <c r="DB100" s="32" t="s">
        <v>583</v>
      </c>
      <c r="DC100" s="32"/>
      <c r="DD100" s="32"/>
      <c r="DE100" s="110"/>
      <c r="DF100" s="64"/>
      <c r="DG100" s="64"/>
      <c r="DH100" s="436" t="s">
        <v>2154</v>
      </c>
      <c r="DI100" s="436" t="s">
        <v>2173</v>
      </c>
      <c r="DJ100" s="626"/>
      <c r="DK100" s="75" t="str">
        <f t="shared" si="14"/>
        <v>93901Q34</v>
      </c>
      <c r="DL100" s="78" t="s">
        <v>3366</v>
      </c>
      <c r="DM100" s="78" t="s">
        <v>3369</v>
      </c>
      <c r="DN100" s="627" t="str">
        <f>T(記入シート1!I67)</f>
        <v/>
      </c>
      <c r="DV100" s="23"/>
      <c r="DX100" s="85"/>
      <c r="DY100" s="85"/>
    </row>
    <row r="101" spans="1:129" ht="19.5" hidden="1" customHeight="1" thickBot="1">
      <c r="A101" s="354" t="s">
        <v>3836</v>
      </c>
      <c r="B101" s="181"/>
      <c r="C101" s="273"/>
      <c r="D101" s="273"/>
      <c r="E101" s="273"/>
      <c r="F101" s="273"/>
      <c r="G101" s="273"/>
      <c r="H101" s="273"/>
      <c r="I101" s="273"/>
      <c r="J101" s="273"/>
      <c r="K101" s="273"/>
      <c r="L101" s="588" t="str">
        <f>IF(OR(AV96=TRUE,AV97=TRUE),"↑マーチャントID/サービスIDについては、既にオンラインASP決済サービスをご利用の場合のみご記入ください。","")</f>
        <v/>
      </c>
      <c r="M101" s="487"/>
      <c r="N101" s="488"/>
      <c r="O101" s="488"/>
      <c r="P101" s="488"/>
      <c r="Q101" s="488"/>
      <c r="R101" s="488"/>
      <c r="S101" s="488"/>
      <c r="T101" s="488"/>
      <c r="U101" s="488"/>
      <c r="V101" s="270"/>
      <c r="W101" s="270"/>
      <c r="X101" s="270"/>
      <c r="Y101" s="270"/>
      <c r="Z101" s="270"/>
      <c r="AA101" s="270"/>
      <c r="AB101" s="270"/>
      <c r="AC101" s="270"/>
      <c r="AD101" s="270"/>
      <c r="AE101" s="270"/>
      <c r="AF101" s="270"/>
      <c r="AG101" s="589"/>
      <c r="AH101" s="589" t="str">
        <f>IF(AND(OR(AV96=TRUE,AV97=TRUE),AV99=FALSE),"↑端末登録機能における事前確認事項をご確認ください。","")</f>
        <v/>
      </c>
      <c r="AI101" s="270"/>
      <c r="AJ101" s="270"/>
      <c r="AK101" s="270"/>
      <c r="AL101" s="270"/>
      <c r="AM101" s="270"/>
      <c r="AN101" s="270"/>
      <c r="AO101" s="270"/>
      <c r="AP101" s="270"/>
      <c r="AQ101" s="270"/>
      <c r="AR101" s="270"/>
      <c r="AS101" s="270"/>
      <c r="AT101" s="270"/>
      <c r="AU101" s="171"/>
      <c r="AW101" s="242"/>
      <c r="AX101" s="242"/>
      <c r="AY101" s="242"/>
      <c r="AZ101" s="242"/>
      <c r="BA101" s="13"/>
      <c r="BB101" s="243"/>
      <c r="BC101" s="243"/>
      <c r="BD101" s="13"/>
      <c r="BE101" s="13"/>
      <c r="BF101" s="244"/>
      <c r="BG101" s="245"/>
      <c r="BH101" s="246"/>
      <c r="BI101" s="247"/>
      <c r="BJ101" s="245"/>
      <c r="BK101" s="13"/>
      <c r="BL101" s="222"/>
      <c r="BM101" s="222"/>
      <c r="BN101" s="248"/>
      <c r="BO101" s="248"/>
      <c r="BP101" s="222"/>
      <c r="BR101" s="13"/>
      <c r="BX101" s="4"/>
      <c r="CD101" s="108"/>
      <c r="CE101" s="108"/>
      <c r="CF101" s="108"/>
      <c r="CG101" s="23"/>
      <c r="CH101" s="49" t="s">
        <v>471</v>
      </c>
      <c r="CI101" s="49" t="s">
        <v>22</v>
      </c>
      <c r="CJ101" s="49">
        <v>128</v>
      </c>
      <c r="CK101" s="49" t="s">
        <v>216</v>
      </c>
      <c r="CL101" s="49" t="s">
        <v>90</v>
      </c>
      <c r="CM101" s="49"/>
      <c r="CN101" s="49"/>
      <c r="CO101" s="50" t="s">
        <v>94</v>
      </c>
      <c r="CP101" s="51" t="str">
        <f>ASC(記入シート1!AE127)</f>
        <v/>
      </c>
      <c r="CQ101" s="2"/>
      <c r="CR101" s="45"/>
      <c r="CS101" s="45"/>
      <c r="CT101" s="45"/>
      <c r="CU101" s="45"/>
      <c r="CV101" s="10"/>
      <c r="CW101" s="32"/>
      <c r="CX101" s="32"/>
      <c r="CY101" s="31"/>
      <c r="CZ101" s="33"/>
      <c r="DA101" s="31"/>
      <c r="DC101" s="32"/>
      <c r="DD101" s="32"/>
      <c r="DE101" s="110"/>
      <c r="DF101" s="64"/>
      <c r="DG101" s="64"/>
      <c r="DH101" s="436" t="s">
        <v>2154</v>
      </c>
      <c r="DI101" s="436" t="s">
        <v>3219</v>
      </c>
      <c r="DJ101" s="626"/>
      <c r="DK101" s="75" t="str">
        <f t="shared" si="14"/>
        <v>93901Q35</v>
      </c>
      <c r="DL101" s="78" t="s">
        <v>3366</v>
      </c>
      <c r="DM101" s="78" t="s">
        <v>3370</v>
      </c>
      <c r="DN101" s="627" t="str">
        <f>ASC(記入シート1!I43)</f>
        <v/>
      </c>
      <c r="DP101" s="10"/>
      <c r="DV101" s="23"/>
      <c r="DX101" s="85"/>
      <c r="DY101" s="85"/>
    </row>
    <row r="102" spans="1:129" ht="19.5" hidden="1" customHeight="1">
      <c r="A102" s="354" t="s">
        <v>3836</v>
      </c>
      <c r="B102" s="181"/>
      <c r="C102" s="1917" t="s">
        <v>862</v>
      </c>
      <c r="D102" s="1918"/>
      <c r="E102" s="1918"/>
      <c r="F102" s="1918"/>
      <c r="G102" s="1918"/>
      <c r="H102" s="1918"/>
      <c r="I102" s="1918"/>
      <c r="J102" s="1918"/>
      <c r="K102" s="1919"/>
      <c r="L102" s="1926" t="s">
        <v>1404</v>
      </c>
      <c r="M102" s="1927"/>
      <c r="N102" s="1927"/>
      <c r="O102" s="1927"/>
      <c r="P102" s="1927"/>
      <c r="Q102" s="1927"/>
      <c r="R102" s="1927"/>
      <c r="S102" s="1927"/>
      <c r="T102" s="1927"/>
      <c r="U102" s="1927"/>
      <c r="V102" s="1927"/>
      <c r="W102" s="1927"/>
      <c r="X102" s="1927"/>
      <c r="Y102" s="1927"/>
      <c r="Z102" s="1927"/>
      <c r="AA102" s="1927"/>
      <c r="AB102" s="1927"/>
      <c r="AC102" s="1927"/>
      <c r="AD102" s="1927"/>
      <c r="AE102" s="1927"/>
      <c r="AF102" s="1927"/>
      <c r="AG102" s="1927"/>
      <c r="AH102" s="1927"/>
      <c r="AI102" s="1927"/>
      <c r="AJ102" s="1927"/>
      <c r="AK102" s="1927"/>
      <c r="AL102" s="1927"/>
      <c r="AM102" s="1927"/>
      <c r="AN102" s="1927"/>
      <c r="AO102" s="1927"/>
      <c r="AP102" s="1927"/>
      <c r="AQ102" s="1927"/>
      <c r="AR102" s="1927"/>
      <c r="AS102" s="1927"/>
      <c r="AT102" s="1928"/>
      <c r="AU102" s="171"/>
      <c r="BX102" s="4"/>
      <c r="CD102" s="108"/>
      <c r="CE102" s="108"/>
      <c r="CF102" s="108"/>
      <c r="CG102" s="23"/>
      <c r="CH102" s="49" t="s">
        <v>472</v>
      </c>
      <c r="CI102" s="49" t="s">
        <v>22</v>
      </c>
      <c r="CJ102" s="49">
        <v>15</v>
      </c>
      <c r="CK102" s="49" t="s">
        <v>216</v>
      </c>
      <c r="CL102" s="49" t="s">
        <v>83</v>
      </c>
      <c r="CM102" s="49"/>
      <c r="CN102" s="49"/>
      <c r="CO102" s="50" t="s">
        <v>86</v>
      </c>
      <c r="CP102" s="51" t="str">
        <f>IF(OR(記入シート1!AE126="",記入シート1!AK126="",記入シート1!AP126=""),"00-0000-0000",ASC(記入シート1!AE126)&amp;"-"&amp;ASC(記入シート1!AK126)&amp;"-"&amp;ASC(記入シート1!AP126))</f>
        <v>00-0000-0000</v>
      </c>
      <c r="CQ102" s="2"/>
      <c r="CR102" s="45"/>
      <c r="CS102" s="45"/>
      <c r="CT102" s="45"/>
      <c r="CU102" s="45"/>
      <c r="CV102" s="10"/>
      <c r="CW102" s="32"/>
      <c r="CX102" s="32"/>
      <c r="CY102" s="31"/>
      <c r="CZ102" s="33"/>
      <c r="DA102" s="31"/>
      <c r="DC102" s="32"/>
      <c r="DD102" s="32"/>
      <c r="DE102" s="110"/>
      <c r="DF102" s="64"/>
      <c r="DG102" s="64"/>
      <c r="DH102" s="436" t="s">
        <v>2154</v>
      </c>
      <c r="DI102" s="436" t="s">
        <v>3226</v>
      </c>
      <c r="DJ102" s="436" t="s">
        <v>3392</v>
      </c>
      <c r="DK102" s="75" t="str">
        <f t="shared" si="14"/>
        <v>93901Q36</v>
      </c>
      <c r="DL102" s="78" t="s">
        <v>3366</v>
      </c>
      <c r="DM102" s="78" t="s">
        <v>3371</v>
      </c>
      <c r="DN102" s="692" t="str">
        <f>""</f>
        <v/>
      </c>
      <c r="DP102" s="10"/>
      <c r="DV102" s="23"/>
      <c r="DX102" s="85"/>
      <c r="DY102" s="85"/>
    </row>
    <row r="103" spans="1:129" ht="19.5" hidden="1" customHeight="1">
      <c r="A103" s="354" t="s">
        <v>3836</v>
      </c>
      <c r="B103" s="181"/>
      <c r="C103" s="1920"/>
      <c r="D103" s="1921"/>
      <c r="E103" s="1921"/>
      <c r="F103" s="1921"/>
      <c r="G103" s="1921"/>
      <c r="H103" s="1921"/>
      <c r="I103" s="1921"/>
      <c r="J103" s="1921"/>
      <c r="K103" s="1922"/>
      <c r="L103" s="1929"/>
      <c r="M103" s="1930"/>
      <c r="N103" s="1930"/>
      <c r="O103" s="1930"/>
      <c r="P103" s="1930"/>
      <c r="Q103" s="1930"/>
      <c r="R103" s="1930"/>
      <c r="S103" s="1930"/>
      <c r="T103" s="1930"/>
      <c r="U103" s="1930"/>
      <c r="V103" s="1930"/>
      <c r="W103" s="1930"/>
      <c r="X103" s="1930"/>
      <c r="Y103" s="1930"/>
      <c r="Z103" s="1930"/>
      <c r="AA103" s="1930"/>
      <c r="AB103" s="1930"/>
      <c r="AC103" s="1930"/>
      <c r="AD103" s="1930"/>
      <c r="AE103" s="1930"/>
      <c r="AF103" s="1930"/>
      <c r="AG103" s="1930"/>
      <c r="AH103" s="1930"/>
      <c r="AI103" s="1930"/>
      <c r="AJ103" s="1930"/>
      <c r="AK103" s="1930"/>
      <c r="AL103" s="1930"/>
      <c r="AM103" s="1930"/>
      <c r="AN103" s="1930"/>
      <c r="AO103" s="1930"/>
      <c r="AP103" s="1930"/>
      <c r="AQ103" s="1930"/>
      <c r="AR103" s="1930"/>
      <c r="AS103" s="1930"/>
      <c r="AT103" s="1931"/>
      <c r="AU103" s="171"/>
      <c r="BX103" s="4"/>
      <c r="CD103" s="108"/>
      <c r="CE103" s="108"/>
      <c r="CF103" s="108"/>
      <c r="CG103" s="23"/>
      <c r="CH103" s="49" t="s">
        <v>93</v>
      </c>
      <c r="CI103" s="49" t="s">
        <v>22</v>
      </c>
      <c r="CJ103" s="49">
        <v>8</v>
      </c>
      <c r="CK103" s="49" t="s">
        <v>216</v>
      </c>
      <c r="CL103" s="49" t="s">
        <v>90</v>
      </c>
      <c r="CM103" s="49"/>
      <c r="CN103" s="49"/>
      <c r="CO103" s="50" t="s">
        <v>92</v>
      </c>
      <c r="CP103" s="51" t="str">
        <f>IF(記入シート1!AV128=1,【見本】記入シート2!CP20,IF(記入シート1!AV128=2,【見本】記入シート2!CP49,""))</f>
        <v/>
      </c>
      <c r="CQ103" s="2"/>
      <c r="CR103" s="45"/>
      <c r="CS103" s="45"/>
      <c r="CT103" s="45"/>
      <c r="CU103" s="45"/>
      <c r="CV103" s="10"/>
      <c r="CW103" s="32"/>
      <c r="CX103" s="32"/>
      <c r="CY103" s="31"/>
      <c r="CZ103" s="33"/>
      <c r="DA103" s="31"/>
      <c r="DC103" s="32"/>
      <c r="DD103" s="32"/>
      <c r="DE103" s="110"/>
      <c r="DF103" s="64"/>
      <c r="DG103" s="64"/>
      <c r="DH103" s="436" t="s">
        <v>2154</v>
      </c>
      <c r="DI103" s="436" t="s">
        <v>3227</v>
      </c>
      <c r="DJ103" s="436"/>
      <c r="DK103" s="75" t="str">
        <f t="shared" si="14"/>
        <v>93901Q37</v>
      </c>
      <c r="DL103" s="78" t="s">
        <v>3366</v>
      </c>
      <c r="DM103" s="78" t="s">
        <v>3385</v>
      </c>
      <c r="DN103" s="627" t="str">
        <f>ASC(記入シート1!AE31)</f>
        <v/>
      </c>
      <c r="DP103" s="10"/>
      <c r="DV103" s="23"/>
      <c r="DX103" s="85"/>
      <c r="DY103" s="85"/>
    </row>
    <row r="104" spans="1:129" ht="19.5" hidden="1" customHeight="1" thickBot="1">
      <c r="A104" s="354" t="s">
        <v>3836</v>
      </c>
      <c r="B104" s="181"/>
      <c r="C104" s="1923"/>
      <c r="D104" s="1924"/>
      <c r="E104" s="1924"/>
      <c r="F104" s="1924"/>
      <c r="G104" s="1924"/>
      <c r="H104" s="1924"/>
      <c r="I104" s="1924"/>
      <c r="J104" s="1924"/>
      <c r="K104" s="1925"/>
      <c r="L104" s="1932"/>
      <c r="M104" s="1933"/>
      <c r="N104" s="1933"/>
      <c r="O104" s="1933"/>
      <c r="P104" s="1933"/>
      <c r="Q104" s="1933"/>
      <c r="R104" s="1933"/>
      <c r="S104" s="1933"/>
      <c r="T104" s="1933"/>
      <c r="U104" s="1933"/>
      <c r="V104" s="1933"/>
      <c r="W104" s="1933"/>
      <c r="X104" s="1933"/>
      <c r="Y104" s="1933"/>
      <c r="Z104" s="1933"/>
      <c r="AA104" s="1933"/>
      <c r="AB104" s="1933"/>
      <c r="AC104" s="1933"/>
      <c r="AD104" s="1933"/>
      <c r="AE104" s="1933"/>
      <c r="AF104" s="1933"/>
      <c r="AG104" s="1933"/>
      <c r="AH104" s="1933"/>
      <c r="AI104" s="1933"/>
      <c r="AJ104" s="1933"/>
      <c r="AK104" s="1933"/>
      <c r="AL104" s="1933"/>
      <c r="AM104" s="1933"/>
      <c r="AN104" s="1933"/>
      <c r="AO104" s="1933"/>
      <c r="AP104" s="1933"/>
      <c r="AQ104" s="1933"/>
      <c r="AR104" s="1933"/>
      <c r="AS104" s="1933"/>
      <c r="AT104" s="1934"/>
      <c r="AU104" s="171"/>
      <c r="BX104" s="4"/>
      <c r="CD104" s="108"/>
      <c r="CE104" s="108"/>
      <c r="CF104" s="108"/>
      <c r="CG104" s="23"/>
      <c r="CH104" s="49" t="s">
        <v>473</v>
      </c>
      <c r="CI104" s="49" t="s">
        <v>21</v>
      </c>
      <c r="CJ104" s="49">
        <v>255</v>
      </c>
      <c r="CK104" s="49" t="s">
        <v>216</v>
      </c>
      <c r="CL104" s="49" t="s">
        <v>90</v>
      </c>
      <c r="CM104" s="49"/>
      <c r="CN104" s="49"/>
      <c r="CO104" s="50" t="s">
        <v>89</v>
      </c>
      <c r="CP104" s="51" t="str">
        <f>IF(記入シート1!AV128=1,CP21,IF(記入シート1!AV128=2,CP50,""))</f>
        <v/>
      </c>
      <c r="CQ104" s="2"/>
      <c r="CR104" s="45"/>
      <c r="CS104" s="45"/>
      <c r="CT104" s="45"/>
      <c r="CU104" s="45"/>
      <c r="CV104" s="10"/>
      <c r="CW104" s="32"/>
      <c r="CX104" s="32"/>
      <c r="CY104" s="31"/>
      <c r="CZ104" s="33"/>
      <c r="DA104" s="31"/>
      <c r="DC104" s="32"/>
      <c r="DD104" s="32"/>
      <c r="DE104" s="110"/>
      <c r="DF104" s="64"/>
      <c r="DG104" s="64"/>
      <c r="DH104" s="436" t="s">
        <v>2154</v>
      </c>
      <c r="DI104" s="436" t="s">
        <v>3228</v>
      </c>
      <c r="DJ104" s="436"/>
      <c r="DK104" s="75" t="str">
        <f t="shared" si="14"/>
        <v>93901Q38</v>
      </c>
      <c r="DL104" s="78" t="s">
        <v>3366</v>
      </c>
      <c r="DM104" s="78" t="s">
        <v>3386</v>
      </c>
      <c r="DN104" s="627" t="str">
        <f>IF(AV68="0000","",AV68)</f>
        <v>5200</v>
      </c>
      <c r="DO104" s="10"/>
      <c r="DP104" s="10"/>
      <c r="DX104" s="85"/>
      <c r="DY104" s="85"/>
    </row>
    <row r="105" spans="1:129" ht="19.5" hidden="1" customHeight="1" thickBot="1">
      <c r="A105" s="354" t="s">
        <v>3836</v>
      </c>
      <c r="B105" s="181"/>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171"/>
      <c r="BX105" s="4"/>
      <c r="BZ105" s="89"/>
      <c r="CD105" s="108"/>
      <c r="CE105" s="108"/>
      <c r="CF105" s="108"/>
      <c r="CH105" s="59" t="s">
        <v>637</v>
      </c>
      <c r="CI105" s="59"/>
      <c r="CJ105" s="59"/>
      <c r="CK105" s="59"/>
      <c r="CL105" s="59"/>
      <c r="CM105" s="59"/>
      <c r="CN105" s="59"/>
      <c r="CO105" s="10"/>
      <c r="CP105" s="10"/>
      <c r="CQ105" s="2"/>
      <c r="CR105" s="45"/>
      <c r="CS105" s="45"/>
      <c r="CT105" s="45"/>
      <c r="CU105" s="45"/>
      <c r="CV105" s="10"/>
      <c r="CW105" s="32"/>
      <c r="CX105" s="32"/>
      <c r="CY105" s="31"/>
      <c r="CZ105" s="33"/>
      <c r="DA105" s="31"/>
      <c r="DC105" s="32"/>
      <c r="DD105" s="32"/>
      <c r="DE105" s="110"/>
      <c r="DF105" s="64"/>
      <c r="DG105" s="64"/>
      <c r="DH105" s="436" t="s">
        <v>2154</v>
      </c>
      <c r="DI105" s="436" t="s">
        <v>3229</v>
      </c>
      <c r="DJ105" s="436"/>
      <c r="DK105" s="75" t="str">
        <f t="shared" si="14"/>
        <v>93901Q39</v>
      </c>
      <c r="DL105" s="78" t="s">
        <v>3366</v>
      </c>
      <c r="DM105" s="78" t="s">
        <v>3387</v>
      </c>
      <c r="DN105" s="627" t="str">
        <f>IF(AV69="0000","",AV69)</f>
        <v>5221</v>
      </c>
      <c r="DO105" s="10"/>
      <c r="DP105" s="10"/>
      <c r="DX105" s="85"/>
      <c r="DY105" s="85"/>
    </row>
    <row r="106" spans="1:129" ht="19.5" hidden="1" customHeight="1" thickTop="1">
      <c r="A106" s="354" t="s">
        <v>3836</v>
      </c>
      <c r="B106" s="181"/>
      <c r="C106" s="1874" t="s">
        <v>1060</v>
      </c>
      <c r="D106" s="1875"/>
      <c r="E106" s="1875"/>
      <c r="F106" s="1875"/>
      <c r="G106" s="1875"/>
      <c r="H106" s="1875"/>
      <c r="I106" s="1875"/>
      <c r="J106" s="1875"/>
      <c r="K106" s="1875"/>
      <c r="L106" s="1875"/>
      <c r="M106" s="1875"/>
      <c r="N106" s="1875"/>
      <c r="O106" s="1875"/>
      <c r="P106" s="1935"/>
      <c r="Q106" s="1936" t="s">
        <v>2105</v>
      </c>
      <c r="R106" s="1937"/>
      <c r="S106" s="1937"/>
      <c r="T106" s="1937"/>
      <c r="U106" s="1937"/>
      <c r="V106" s="1937" t="s">
        <v>2106</v>
      </c>
      <c r="W106" s="1937"/>
      <c r="X106" s="1937"/>
      <c r="Y106" s="1937"/>
      <c r="Z106" s="1938"/>
      <c r="AA106" s="592"/>
      <c r="AB106" s="593"/>
      <c r="AC106" s="593"/>
      <c r="AD106" s="593"/>
      <c r="AE106" s="593"/>
      <c r="AF106" s="593"/>
      <c r="AG106" s="593"/>
      <c r="AH106" s="593"/>
      <c r="AI106" s="593"/>
      <c r="AJ106" s="593"/>
      <c r="AK106" s="593"/>
      <c r="AL106" s="593"/>
      <c r="AM106" s="593"/>
      <c r="AN106" s="593"/>
      <c r="AO106" s="593"/>
      <c r="AP106" s="593"/>
      <c r="AQ106" s="593"/>
      <c r="AR106" s="593"/>
      <c r="AS106" s="593"/>
      <c r="AT106" s="594"/>
      <c r="AU106" s="171"/>
      <c r="BX106" s="4"/>
      <c r="BZ106" s="89"/>
      <c r="CD106" s="108"/>
      <c r="CE106" s="108"/>
      <c r="CF106" s="108"/>
      <c r="CH106" s="46" t="s">
        <v>323</v>
      </c>
      <c r="CI106" s="47" t="s">
        <v>586</v>
      </c>
      <c r="CJ106" s="47" t="s">
        <v>321</v>
      </c>
      <c r="CK106" s="46" t="s">
        <v>320</v>
      </c>
      <c r="CL106" s="46" t="s">
        <v>587</v>
      </c>
      <c r="CM106" s="46" t="s">
        <v>326</v>
      </c>
      <c r="CN106" s="46" t="s">
        <v>327</v>
      </c>
      <c r="CO106" s="46" t="s">
        <v>376</v>
      </c>
      <c r="CP106" s="46" t="s">
        <v>328</v>
      </c>
      <c r="CQ106" s="2"/>
      <c r="CR106" s="45"/>
      <c r="CS106" s="45"/>
      <c r="CT106" s="45"/>
      <c r="CU106" s="45"/>
      <c r="CV106" s="10"/>
      <c r="CW106" s="32"/>
      <c r="CX106" s="32"/>
      <c r="CY106" s="31"/>
      <c r="CZ106" s="33"/>
      <c r="DA106" s="31"/>
      <c r="DC106" s="32"/>
      <c r="DD106" s="32"/>
      <c r="DE106" s="110"/>
      <c r="DF106" s="64"/>
      <c r="DG106" s="64"/>
      <c r="DH106" s="436" t="s">
        <v>2154</v>
      </c>
      <c r="DI106" s="436" t="s">
        <v>3230</v>
      </c>
      <c r="DJ106" s="436" t="s">
        <v>3393</v>
      </c>
      <c r="DK106" s="75" t="str">
        <f t="shared" si="14"/>
        <v>93901Q3A</v>
      </c>
      <c r="DL106" s="78" t="s">
        <v>3366</v>
      </c>
      <c r="DM106" s="78" t="s">
        <v>3388</v>
      </c>
      <c r="DN106" s="692" t="str">
        <f>""</f>
        <v/>
      </c>
      <c r="DO106" s="10"/>
      <c r="DP106" s="10"/>
      <c r="DX106" s="85"/>
      <c r="DY106" s="85"/>
    </row>
    <row r="107" spans="1:129" ht="19.5" hidden="1" customHeight="1">
      <c r="A107" s="354" t="s">
        <v>3836</v>
      </c>
      <c r="B107" s="181"/>
      <c r="C107" s="1939" t="s">
        <v>2107</v>
      </c>
      <c r="D107" s="1940"/>
      <c r="E107" s="1940"/>
      <c r="F107" s="1940"/>
      <c r="G107" s="1940"/>
      <c r="H107" s="1940"/>
      <c r="I107" s="1940"/>
      <c r="J107" s="1940"/>
      <c r="K107" s="1941"/>
      <c r="L107" s="1942" t="s">
        <v>1891</v>
      </c>
      <c r="M107" s="1942"/>
      <c r="N107" s="1942"/>
      <c r="O107" s="1942"/>
      <c r="P107" s="1942"/>
      <c r="Q107" s="1943"/>
      <c r="R107" s="1944"/>
      <c r="S107" s="1944"/>
      <c r="T107" s="1944"/>
      <c r="U107" s="1944"/>
      <c r="V107" s="1646">
        <v>0</v>
      </c>
      <c r="W107" s="1646"/>
      <c r="X107" s="1646"/>
      <c r="Y107" s="1646"/>
      <c r="Z107" s="1647"/>
      <c r="AA107" s="126"/>
      <c r="AB107" s="126"/>
      <c r="AC107" s="126"/>
      <c r="AD107" s="126"/>
      <c r="AE107" s="126"/>
      <c r="AF107" s="126"/>
      <c r="AG107" s="126"/>
      <c r="AH107" s="126"/>
      <c r="AI107" s="126"/>
      <c r="AJ107" s="126"/>
      <c r="AK107" s="126"/>
      <c r="AL107" s="126"/>
      <c r="AM107" s="126"/>
      <c r="AN107" s="126"/>
      <c r="AO107" s="126"/>
      <c r="AP107" s="126"/>
      <c r="AQ107" s="126"/>
      <c r="AR107" s="126"/>
      <c r="AS107" s="126"/>
      <c r="AT107" s="595"/>
      <c r="AU107" s="171"/>
      <c r="BD107" s="477" t="s">
        <v>1073</v>
      </c>
      <c r="BX107" s="4"/>
      <c r="BZ107" s="89"/>
      <c r="CD107" s="108"/>
      <c r="CE107" s="108"/>
      <c r="CF107" s="108"/>
      <c r="CH107" s="148" t="s">
        <v>484</v>
      </c>
      <c r="CI107" s="148" t="s">
        <v>22</v>
      </c>
      <c r="CJ107" s="148">
        <v>128</v>
      </c>
      <c r="CK107" s="148" t="s">
        <v>216</v>
      </c>
      <c r="CL107" s="148" t="s">
        <v>83</v>
      </c>
      <c r="CM107" s="148"/>
      <c r="CN107" s="148"/>
      <c r="CO107" s="149" t="s">
        <v>85</v>
      </c>
      <c r="CP107" s="150"/>
      <c r="CQ107" s="2"/>
      <c r="CR107" s="45"/>
      <c r="CS107" s="45"/>
      <c r="CT107" s="45"/>
      <c r="CU107" s="45"/>
      <c r="CV107" s="10"/>
      <c r="CW107" s="32"/>
      <c r="CX107" s="32"/>
      <c r="CY107" s="31"/>
      <c r="CZ107" s="33"/>
      <c r="DA107" s="31"/>
      <c r="DC107" s="32"/>
      <c r="DD107" s="32"/>
      <c r="DE107" s="110"/>
      <c r="DF107" s="64"/>
      <c r="DG107" s="64"/>
      <c r="DH107" s="436" t="s">
        <v>2154</v>
      </c>
      <c r="DI107" s="436" t="s">
        <v>3231</v>
      </c>
      <c r="DJ107" s="436" t="s">
        <v>3394</v>
      </c>
      <c r="DK107" s="75" t="str">
        <f t="shared" si="14"/>
        <v>93901Q3B</v>
      </c>
      <c r="DL107" s="78" t="s">
        <v>3366</v>
      </c>
      <c r="DM107" s="78" t="s">
        <v>3389</v>
      </c>
      <c r="DN107" s="692" t="str">
        <f>""</f>
        <v/>
      </c>
      <c r="DO107" s="10"/>
      <c r="DP107" s="10"/>
      <c r="DX107" s="85"/>
      <c r="DY107" s="85"/>
    </row>
    <row r="108" spans="1:129" ht="19.5" hidden="1" customHeight="1">
      <c r="A108" s="354" t="s">
        <v>3836</v>
      </c>
      <c r="B108" s="181"/>
      <c r="C108" s="1637" t="s">
        <v>1952</v>
      </c>
      <c r="D108" s="1638"/>
      <c r="E108" s="1638"/>
      <c r="F108" s="1638"/>
      <c r="G108" s="1638"/>
      <c r="H108" s="1638"/>
      <c r="I108" s="1638"/>
      <c r="J108" s="1638"/>
      <c r="K108" s="1639"/>
      <c r="L108" s="1640" t="s">
        <v>1891</v>
      </c>
      <c r="M108" s="1640"/>
      <c r="N108" s="1640"/>
      <c r="O108" s="1640"/>
      <c r="P108" s="1640"/>
      <c r="Q108" s="1645"/>
      <c r="R108" s="1646"/>
      <c r="S108" s="1646"/>
      <c r="T108" s="1646"/>
      <c r="U108" s="1646"/>
      <c r="V108" s="1646"/>
      <c r="W108" s="1646"/>
      <c r="X108" s="1646"/>
      <c r="Y108" s="1646"/>
      <c r="Z108" s="1647"/>
      <c r="AA108" s="126"/>
      <c r="AB108" s="126"/>
      <c r="AC108" s="126"/>
      <c r="AD108" s="126"/>
      <c r="AE108" s="126"/>
      <c r="AF108" s="126"/>
      <c r="AG108" s="126"/>
      <c r="AH108" s="126"/>
      <c r="AI108" s="126"/>
      <c r="AJ108" s="126"/>
      <c r="AK108" s="126"/>
      <c r="AL108" s="126"/>
      <c r="AM108" s="126"/>
      <c r="AN108" s="126"/>
      <c r="AO108" s="126"/>
      <c r="AP108" s="126"/>
      <c r="AQ108" s="126"/>
      <c r="AR108" s="126"/>
      <c r="AS108" s="126"/>
      <c r="AT108" s="595"/>
      <c r="AU108" s="171"/>
      <c r="AW108" s="307" t="s">
        <v>1063</v>
      </c>
      <c r="AX108" s="309" t="s">
        <v>1057</v>
      </c>
      <c r="AY108" s="309" t="s">
        <v>1058</v>
      </c>
      <c r="AZ108" s="309"/>
      <c r="BA108" s="307" t="s">
        <v>1063</v>
      </c>
      <c r="BB108" s="3"/>
      <c r="BD108" s="477" t="s">
        <v>1073</v>
      </c>
      <c r="BX108" s="4"/>
      <c r="BZ108" s="89"/>
      <c r="CD108" s="108"/>
      <c r="CE108" s="108"/>
      <c r="CF108" s="108"/>
      <c r="CH108" s="148" t="s">
        <v>485</v>
      </c>
      <c r="CI108" s="148" t="s">
        <v>63</v>
      </c>
      <c r="CJ108" s="148">
        <v>1</v>
      </c>
      <c r="CK108" s="148" t="s">
        <v>216</v>
      </c>
      <c r="CL108" s="148" t="s">
        <v>83</v>
      </c>
      <c r="CM108" s="148" t="s">
        <v>594</v>
      </c>
      <c r="CN108" s="148"/>
      <c r="CO108" s="149" t="s">
        <v>84</v>
      </c>
      <c r="CP108" s="150"/>
      <c r="CQ108" s="2"/>
      <c r="CR108" s="45"/>
      <c r="CS108" s="45"/>
      <c r="CT108" s="45"/>
      <c r="CU108" s="45"/>
      <c r="CV108" s="10"/>
      <c r="CW108" s="32"/>
      <c r="CX108" s="32"/>
      <c r="CY108" s="31"/>
      <c r="CZ108" s="33"/>
      <c r="DA108" s="31"/>
      <c r="DC108" s="32"/>
      <c r="DD108" s="32"/>
      <c r="DE108" s="110"/>
      <c r="DF108" s="64"/>
      <c r="DG108" s="64"/>
      <c r="DH108" s="436" t="s">
        <v>2154</v>
      </c>
      <c r="DI108" s="436" t="s">
        <v>3232</v>
      </c>
      <c r="DJ108" s="436" t="s">
        <v>3394</v>
      </c>
      <c r="DK108" s="75" t="str">
        <f t="shared" si="14"/>
        <v>93901Q3C</v>
      </c>
      <c r="DL108" s="78" t="s">
        <v>3366</v>
      </c>
      <c r="DM108" s="78" t="s">
        <v>3390</v>
      </c>
      <c r="DN108" s="692" t="str">
        <f>""</f>
        <v/>
      </c>
      <c r="DO108" s="10"/>
      <c r="DP108" s="10"/>
      <c r="DX108" s="85"/>
      <c r="DY108" s="85"/>
    </row>
    <row r="109" spans="1:129" ht="19.5" hidden="1" customHeight="1" thickBot="1">
      <c r="A109" s="354" t="s">
        <v>3836</v>
      </c>
      <c r="B109" s="181"/>
      <c r="C109" s="1637" t="s">
        <v>1953</v>
      </c>
      <c r="D109" s="1638"/>
      <c r="E109" s="1638"/>
      <c r="F109" s="1638"/>
      <c r="G109" s="1638"/>
      <c r="H109" s="1638"/>
      <c r="I109" s="1638"/>
      <c r="J109" s="1638"/>
      <c r="K109" s="1639"/>
      <c r="L109" s="1640" t="s">
        <v>1891</v>
      </c>
      <c r="M109" s="1640"/>
      <c r="N109" s="1640"/>
      <c r="O109" s="1640"/>
      <c r="P109" s="1640"/>
      <c r="Q109" s="1914"/>
      <c r="R109" s="1915"/>
      <c r="S109" s="1915"/>
      <c r="T109" s="1915"/>
      <c r="U109" s="1915"/>
      <c r="V109" s="1915"/>
      <c r="W109" s="1915"/>
      <c r="X109" s="1915"/>
      <c r="Y109" s="1915"/>
      <c r="Z109" s="1916"/>
      <c r="AA109" s="1136" t="s">
        <v>1957</v>
      </c>
      <c r="AB109" s="1136"/>
      <c r="AC109" s="1136"/>
      <c r="AD109" s="1636" t="s">
        <v>1958</v>
      </c>
      <c r="AE109" s="1636"/>
      <c r="AF109" s="1636"/>
      <c r="AG109" s="1636"/>
      <c r="AH109" s="126"/>
      <c r="AI109" s="126"/>
      <c r="AJ109" s="126"/>
      <c r="AK109" s="126"/>
      <c r="AL109" s="126"/>
      <c r="AM109" s="126"/>
      <c r="AN109" s="126"/>
      <c r="AO109" s="126"/>
      <c r="AP109" s="126"/>
      <c r="AQ109" s="126"/>
      <c r="AR109" s="126"/>
      <c r="AS109" s="126"/>
      <c r="AT109" s="595"/>
      <c r="AU109" s="171"/>
      <c r="AV109" s="151" t="b">
        <f>IF(L107="申し込む",TRUE,FALSE)</f>
        <v>0</v>
      </c>
      <c r="AW109" s="307"/>
      <c r="AX109" s="308">
        <f>AV109*Q109</f>
        <v>0</v>
      </c>
      <c r="AY109" s="308">
        <f>AV109*U109</f>
        <v>0</v>
      </c>
      <c r="AZ109" s="309">
        <f>AV109*1</f>
        <v>0</v>
      </c>
      <c r="BA109" s="310" t="s">
        <v>1062</v>
      </c>
      <c r="BB109" s="3" t="s">
        <v>1061</v>
      </c>
      <c r="BD109" s="477" t="s">
        <v>1073</v>
      </c>
      <c r="BX109" s="4"/>
      <c r="BZ109" s="89"/>
      <c r="CD109" s="108"/>
      <c r="CE109" s="108"/>
      <c r="CF109" s="108"/>
      <c r="CH109" s="148" t="s">
        <v>486</v>
      </c>
      <c r="CI109" s="148" t="s">
        <v>22</v>
      </c>
      <c r="CJ109" s="148">
        <v>15</v>
      </c>
      <c r="CK109" s="148" t="s">
        <v>83</v>
      </c>
      <c r="CL109" s="148" t="s">
        <v>83</v>
      </c>
      <c r="CM109" s="148"/>
      <c r="CN109" s="148" t="s">
        <v>695</v>
      </c>
      <c r="CO109" s="149" t="s">
        <v>82</v>
      </c>
      <c r="CP109" s="150"/>
      <c r="CQ109" s="2"/>
      <c r="CR109" s="45"/>
      <c r="CS109" s="45"/>
      <c r="CT109" s="45"/>
      <c r="CU109" s="45"/>
      <c r="CV109" s="10"/>
      <c r="CW109" s="32"/>
      <c r="CX109" s="32"/>
      <c r="CY109" s="31"/>
      <c r="CZ109" s="33"/>
      <c r="DA109" s="31"/>
      <c r="DC109" s="32"/>
      <c r="DD109" s="32"/>
      <c r="DE109" s="110"/>
      <c r="DF109" s="64"/>
      <c r="DG109" s="64"/>
      <c r="DH109" s="436" t="s">
        <v>2154</v>
      </c>
      <c r="DI109" s="436" t="s">
        <v>3233</v>
      </c>
      <c r="DJ109" s="436" t="s">
        <v>3394</v>
      </c>
      <c r="DK109" s="75" t="str">
        <f t="shared" si="14"/>
        <v>93901Q3D</v>
      </c>
      <c r="DL109" s="78" t="s">
        <v>3366</v>
      </c>
      <c r="DM109" s="78" t="s">
        <v>3391</v>
      </c>
      <c r="DN109" s="692" t="str">
        <f>""</f>
        <v/>
      </c>
      <c r="DO109" s="10"/>
      <c r="DP109" s="10"/>
      <c r="DX109" s="85"/>
      <c r="DY109" s="85"/>
    </row>
    <row r="110" spans="1:129" ht="19.5" hidden="1" customHeight="1" thickTop="1" thickBot="1">
      <c r="A110" s="354" t="s">
        <v>3836</v>
      </c>
      <c r="B110" s="181"/>
      <c r="C110" s="1637"/>
      <c r="D110" s="1638"/>
      <c r="E110" s="1638"/>
      <c r="F110" s="1638"/>
      <c r="G110" s="1638"/>
      <c r="H110" s="1638"/>
      <c r="I110" s="1638"/>
      <c r="J110" s="1638"/>
      <c r="K110" s="1639"/>
      <c r="L110" s="1640" t="s">
        <v>1891</v>
      </c>
      <c r="M110" s="1640"/>
      <c r="N110" s="1640"/>
      <c r="O110" s="1640"/>
      <c r="P110" s="1640"/>
      <c r="Q110" s="1641"/>
      <c r="R110" s="1642"/>
      <c r="S110" s="1642"/>
      <c r="T110" s="1642"/>
      <c r="U110" s="1642"/>
      <c r="V110" s="1643"/>
      <c r="W110" s="1643"/>
      <c r="X110" s="1643"/>
      <c r="Y110" s="1643"/>
      <c r="Z110" s="1644"/>
      <c r="AA110" s="126"/>
      <c r="AB110" s="126"/>
      <c r="AC110" s="126"/>
      <c r="AD110" s="126"/>
      <c r="AE110" s="126"/>
      <c r="AF110" s="126"/>
      <c r="AG110" s="126"/>
      <c r="AH110" s="126"/>
      <c r="AI110" s="126"/>
      <c r="AJ110" s="126"/>
      <c r="AK110" s="126"/>
      <c r="AL110" s="126"/>
      <c r="AM110" s="126"/>
      <c r="AN110" s="126"/>
      <c r="AO110" s="126"/>
      <c r="AP110" s="126"/>
      <c r="AQ110" s="126"/>
      <c r="AR110" s="126"/>
      <c r="AS110" s="126"/>
      <c r="AT110" s="596"/>
      <c r="AU110" s="171"/>
      <c r="AV110" s="151" t="b">
        <f>IF(L108="申し込む",TRUE,FALSE)</f>
        <v>0</v>
      </c>
      <c r="BD110" s="477" t="s">
        <v>1073</v>
      </c>
      <c r="BX110" s="4"/>
      <c r="BZ110" s="89"/>
      <c r="CD110" s="108"/>
      <c r="CE110" s="108"/>
      <c r="CF110" s="108"/>
      <c r="CH110" s="148" t="s">
        <v>487</v>
      </c>
      <c r="CI110" s="148" t="s">
        <v>22</v>
      </c>
      <c r="CJ110" s="148">
        <v>128</v>
      </c>
      <c r="CK110" s="148" t="s">
        <v>83</v>
      </c>
      <c r="CL110" s="148" t="s">
        <v>83</v>
      </c>
      <c r="CM110" s="148"/>
      <c r="CN110" s="148" t="s">
        <v>696</v>
      </c>
      <c r="CO110" s="215" t="s">
        <v>81</v>
      </c>
      <c r="CP110" s="150"/>
      <c r="CQ110" s="2"/>
      <c r="CR110" s="45"/>
      <c r="CS110" s="45"/>
      <c r="CT110" s="45"/>
      <c r="CU110" s="45"/>
      <c r="CV110" s="10"/>
      <c r="CW110" s="32"/>
      <c r="CX110" s="32"/>
      <c r="CY110" s="31"/>
      <c r="CZ110" s="33"/>
      <c r="DA110" s="31"/>
      <c r="DC110" s="32"/>
      <c r="DD110" s="32"/>
      <c r="DE110" s="87"/>
      <c r="DF110" s="64"/>
      <c r="DG110" s="64"/>
      <c r="DH110" s="436" t="s">
        <v>2157</v>
      </c>
      <c r="DI110" s="436" t="s">
        <v>3234</v>
      </c>
      <c r="DJ110" s="626"/>
      <c r="DK110" s="75" t="str">
        <f t="shared" si="14"/>
        <v>94201Q62</v>
      </c>
      <c r="DL110" s="78" t="s">
        <v>3395</v>
      </c>
      <c r="DM110" s="78" t="s">
        <v>3396</v>
      </c>
      <c r="DN110" s="627" t="str">
        <f>IF(OR(AV73="00000",AV73=""),"",ASC(AV73))</f>
        <v/>
      </c>
      <c r="DO110" s="10"/>
      <c r="DP110" s="10"/>
      <c r="DX110" s="85"/>
      <c r="DY110" s="85"/>
    </row>
    <row r="111" spans="1:129" ht="19.5" customHeight="1" thickBot="1">
      <c r="A111" s="354"/>
      <c r="B111" s="181"/>
      <c r="AU111" s="171"/>
      <c r="AV111" s="151" t="b">
        <f>IF(L109="申し込む",TRUE,FALSE)</f>
        <v>0</v>
      </c>
      <c r="AW111" s="20">
        <f>IF(AD109="docomo",1,IF(AD109="SoftBank",2,0))</f>
        <v>1</v>
      </c>
      <c r="BX111" s="4"/>
      <c r="BZ111" s="89"/>
      <c r="CD111" s="108"/>
      <c r="CE111" s="108"/>
      <c r="CF111" s="108"/>
      <c r="CH111" s="148" t="s">
        <v>488</v>
      </c>
      <c r="CI111" s="148" t="s">
        <v>63</v>
      </c>
      <c r="CJ111" s="148">
        <v>1</v>
      </c>
      <c r="CK111" s="148" t="s">
        <v>83</v>
      </c>
      <c r="CL111" s="148" t="s">
        <v>83</v>
      </c>
      <c r="CM111" s="148" t="s">
        <v>489</v>
      </c>
      <c r="CN111" s="148" t="s">
        <v>610</v>
      </c>
      <c r="CO111" s="149" t="s">
        <v>80</v>
      </c>
      <c r="CP111" s="150"/>
      <c r="CQ111" s="2"/>
      <c r="CR111" s="45"/>
      <c r="CS111" s="45"/>
      <c r="CT111" s="45"/>
      <c r="CU111" s="45"/>
      <c r="CV111" s="10"/>
      <c r="CW111" s="32"/>
      <c r="CX111" s="32"/>
      <c r="CY111" s="31"/>
      <c r="CZ111" s="33"/>
      <c r="DA111" s="31"/>
      <c r="DC111" s="32"/>
      <c r="DD111" s="32"/>
      <c r="DE111" s="87"/>
      <c r="DF111" s="64"/>
      <c r="DG111" s="64"/>
      <c r="DH111" s="436" t="s">
        <v>2157</v>
      </c>
      <c r="DI111" s="436" t="s">
        <v>3235</v>
      </c>
      <c r="DJ111" s="626" t="s">
        <v>3365</v>
      </c>
      <c r="DK111" s="75" t="str">
        <f t="shared" si="14"/>
        <v>94201Q63</v>
      </c>
      <c r="DL111" s="78" t="s">
        <v>3395</v>
      </c>
      <c r="DM111" s="78" t="s">
        <v>3397</v>
      </c>
      <c r="DN111" s="627" t="str">
        <f>IF(AX72=1,"1","0")</f>
        <v>1</v>
      </c>
      <c r="DO111" s="10"/>
      <c r="DP111" s="10"/>
      <c r="DX111" s="85"/>
      <c r="DY111" s="85"/>
    </row>
    <row r="112" spans="1:129" ht="19.5" customHeight="1" thickTop="1">
      <c r="A112" s="354"/>
      <c r="B112" s="181"/>
      <c r="C112" s="1874" t="s">
        <v>1970</v>
      </c>
      <c r="D112" s="1875"/>
      <c r="E112" s="1875"/>
      <c r="F112" s="1875"/>
      <c r="G112" s="1875"/>
      <c r="H112" s="1875"/>
      <c r="I112" s="1875"/>
      <c r="J112" s="944"/>
      <c r="K112" s="1875"/>
      <c r="L112" s="1875"/>
      <c r="M112" s="1875"/>
      <c r="N112" s="1875"/>
      <c r="O112" s="1875"/>
      <c r="P112" s="1875"/>
      <c r="Q112" s="1875"/>
      <c r="R112" s="1875"/>
      <c r="S112" s="1875"/>
      <c r="T112" s="1875"/>
      <c r="U112" s="1875"/>
      <c r="V112" s="1889" t="s">
        <v>5059</v>
      </c>
      <c r="W112" s="1890"/>
      <c r="X112" s="1890"/>
      <c r="Y112" s="1890"/>
      <c r="Z112" s="1890"/>
      <c r="AA112" s="1890"/>
      <c r="AB112" s="1891"/>
      <c r="AC112" s="384"/>
      <c r="AD112" s="384"/>
      <c r="AE112" s="384"/>
      <c r="AF112" s="384"/>
      <c r="AG112" s="384"/>
      <c r="AH112" s="384"/>
      <c r="AI112" s="384"/>
      <c r="AJ112" s="384"/>
      <c r="AK112" s="384"/>
      <c r="AL112" s="384"/>
      <c r="AM112" s="384"/>
      <c r="AN112" s="384"/>
      <c r="AO112" s="384"/>
      <c r="AP112" s="384"/>
      <c r="AQ112" s="384"/>
      <c r="AR112" s="384"/>
      <c r="AS112" s="384"/>
      <c r="AT112" s="851"/>
      <c r="AU112" s="171"/>
      <c r="BX112" s="4"/>
      <c r="BZ112" s="89"/>
      <c r="CD112" s="108"/>
      <c r="CE112" s="108"/>
      <c r="CF112" s="108"/>
      <c r="CH112" s="148" t="s">
        <v>490</v>
      </c>
      <c r="CI112" s="148" t="s">
        <v>21</v>
      </c>
      <c r="CJ112" s="148">
        <v>60</v>
      </c>
      <c r="CK112" s="148" t="s">
        <v>83</v>
      </c>
      <c r="CL112" s="148" t="s">
        <v>83</v>
      </c>
      <c r="CM112" s="148"/>
      <c r="CN112" s="148" t="s">
        <v>611</v>
      </c>
      <c r="CO112" s="149" t="s">
        <v>79</v>
      </c>
      <c r="CP112" s="150"/>
      <c r="CQ112" s="2"/>
      <c r="CR112" s="45"/>
      <c r="CS112" s="45"/>
      <c r="CT112" s="45"/>
      <c r="CU112" s="45"/>
      <c r="CV112" s="10"/>
      <c r="CW112" s="32"/>
      <c r="CX112" s="32"/>
      <c r="CY112" s="31"/>
      <c r="CZ112" s="33"/>
      <c r="DA112" s="31"/>
      <c r="DC112" s="32"/>
      <c r="DD112" s="32"/>
      <c r="DE112" s="87"/>
      <c r="DF112" s="64"/>
      <c r="DG112" s="64"/>
      <c r="DH112" s="436" t="s">
        <v>2157</v>
      </c>
      <c r="DI112" s="436" t="s">
        <v>3236</v>
      </c>
      <c r="DJ112" s="626"/>
      <c r="DK112" s="75" t="str">
        <f t="shared" si="14"/>
        <v>94201Q64</v>
      </c>
      <c r="DL112" s="78" t="s">
        <v>3395</v>
      </c>
      <c r="DM112" s="78" t="s">
        <v>3398</v>
      </c>
      <c r="DN112" s="692" t="str">
        <f>""</f>
        <v/>
      </c>
      <c r="DO112" s="10"/>
      <c r="DP112" s="10"/>
      <c r="DX112" s="85"/>
      <c r="DY112" s="85"/>
    </row>
    <row r="113" spans="1:129" ht="19.5" hidden="1" customHeight="1">
      <c r="A113" s="354"/>
      <c r="B113" s="181"/>
      <c r="C113" s="1876" t="s">
        <v>4875</v>
      </c>
      <c r="D113" s="1877"/>
      <c r="E113" s="1877"/>
      <c r="F113" s="1877"/>
      <c r="G113" s="1877"/>
      <c r="H113" s="1877"/>
      <c r="I113" s="1877"/>
      <c r="J113" s="959"/>
      <c r="K113" s="960"/>
      <c r="L113" s="946"/>
      <c r="M113" s="946"/>
      <c r="N113" s="946"/>
      <c r="O113" s="946"/>
      <c r="P113" s="946"/>
      <c r="Q113" s="946"/>
      <c r="R113" s="946"/>
      <c r="S113" s="946"/>
      <c r="T113" s="946"/>
      <c r="U113" s="946"/>
      <c r="V113" s="1878">
        <v>0</v>
      </c>
      <c r="W113" s="1879"/>
      <c r="X113" s="1879"/>
      <c r="Y113" s="1879"/>
      <c r="Z113" s="1880"/>
      <c r="AA113" s="961"/>
      <c r="AB113" s="782"/>
      <c r="AC113" s="249"/>
      <c r="AD113" s="249"/>
      <c r="AE113" s="962"/>
      <c r="AF113" s="249"/>
      <c r="AS113" s="249"/>
      <c r="AT113" s="250"/>
      <c r="AU113" s="171"/>
      <c r="BX113" s="4"/>
      <c r="BZ113" s="89"/>
      <c r="CD113" s="108"/>
      <c r="CE113" s="108"/>
      <c r="CF113" s="108"/>
      <c r="CH113" s="148" t="s">
        <v>491</v>
      </c>
      <c r="CI113" s="148" t="s">
        <v>21</v>
      </c>
      <c r="CJ113" s="148">
        <v>255</v>
      </c>
      <c r="CK113" s="148" t="s">
        <v>83</v>
      </c>
      <c r="CL113" s="148" t="s">
        <v>83</v>
      </c>
      <c r="CM113" s="148"/>
      <c r="CN113" s="148" t="s">
        <v>611</v>
      </c>
      <c r="CO113" s="149" t="s">
        <v>78</v>
      </c>
      <c r="CP113" s="150"/>
      <c r="CQ113" s="2"/>
      <c r="CR113" s="45"/>
      <c r="CS113" s="45"/>
      <c r="CT113" s="45"/>
      <c r="CU113" s="45"/>
      <c r="CV113" s="10"/>
      <c r="CW113" s="32"/>
      <c r="CX113" s="32"/>
      <c r="CY113" s="31"/>
      <c r="CZ113" s="33"/>
      <c r="DA113" s="31"/>
      <c r="DC113" s="32"/>
      <c r="DD113" s="32"/>
      <c r="DE113" s="87"/>
      <c r="DF113" s="64"/>
      <c r="DG113" s="64"/>
      <c r="DH113" s="436" t="s">
        <v>2157</v>
      </c>
      <c r="DI113" s="436" t="s">
        <v>3237</v>
      </c>
      <c r="DJ113" s="626"/>
      <c r="DK113" s="75" t="str">
        <f t="shared" si="14"/>
        <v>94201Q65</v>
      </c>
      <c r="DL113" s="78" t="s">
        <v>3395</v>
      </c>
      <c r="DM113" s="78" t="s">
        <v>3399</v>
      </c>
      <c r="DN113" s="692" t="str">
        <f>""</f>
        <v/>
      </c>
      <c r="DO113" s="10"/>
      <c r="DP113" s="10"/>
      <c r="DX113" s="85"/>
      <c r="DY113" s="85"/>
    </row>
    <row r="114" spans="1:129" ht="19.5" customHeight="1">
      <c r="A114" s="354"/>
      <c r="B114" s="181"/>
      <c r="C114" s="1621" t="s">
        <v>5052</v>
      </c>
      <c r="D114" s="1622"/>
      <c r="E114" s="1622"/>
      <c r="F114" s="1622"/>
      <c r="G114" s="1622"/>
      <c r="H114" s="1622"/>
      <c r="I114" s="1622"/>
      <c r="J114" s="1659" t="s">
        <v>5053</v>
      </c>
      <c r="K114" s="1659"/>
      <c r="L114" s="1659"/>
      <c r="M114" s="1659"/>
      <c r="N114" s="1659"/>
      <c r="O114" s="1659"/>
      <c r="P114" s="1659"/>
      <c r="Q114" s="1659"/>
      <c r="R114" s="1659"/>
      <c r="S114" s="1659"/>
      <c r="T114" s="1659"/>
      <c r="U114" s="1660"/>
      <c r="V114" s="1661">
        <v>600</v>
      </c>
      <c r="W114" s="1662"/>
      <c r="X114" s="1662"/>
      <c r="Y114" s="1662"/>
      <c r="Z114" s="1662"/>
      <c r="AA114" s="1883" t="s">
        <v>5087</v>
      </c>
      <c r="AB114" s="1884"/>
      <c r="AT114" s="902"/>
      <c r="AU114" s="171"/>
      <c r="BX114" s="4"/>
      <c r="BZ114" s="89"/>
      <c r="CD114" s="108"/>
      <c r="CE114" s="108"/>
      <c r="CF114" s="108"/>
      <c r="CH114" s="148" t="s">
        <v>492</v>
      </c>
      <c r="CI114" s="148" t="s">
        <v>21</v>
      </c>
      <c r="CJ114" s="148">
        <v>255</v>
      </c>
      <c r="CK114" s="148" t="s">
        <v>83</v>
      </c>
      <c r="CL114" s="148" t="s">
        <v>83</v>
      </c>
      <c r="CM114" s="148"/>
      <c r="CN114" s="148" t="s">
        <v>610</v>
      </c>
      <c r="CO114" s="149" t="s">
        <v>77</v>
      </c>
      <c r="CP114" s="150"/>
      <c r="CQ114" s="2"/>
      <c r="CR114" s="45"/>
      <c r="CS114" s="45"/>
      <c r="CT114" s="45"/>
      <c r="CU114" s="45"/>
      <c r="CV114" s="10"/>
      <c r="CW114" s="32"/>
      <c r="CX114" s="32"/>
      <c r="CY114" s="31"/>
      <c r="CZ114" s="33"/>
      <c r="DA114" s="31"/>
      <c r="DC114" s="32"/>
      <c r="DD114" s="32"/>
      <c r="DE114" s="87"/>
      <c r="DF114" s="64"/>
      <c r="DG114" s="64"/>
      <c r="DL114" s="79" t="s">
        <v>2024</v>
      </c>
      <c r="DO114" s="10"/>
      <c r="DP114" s="10"/>
      <c r="DX114" s="85"/>
      <c r="DY114" s="85"/>
    </row>
    <row r="115" spans="1:129" ht="19.5" customHeight="1">
      <c r="A115" s="354"/>
      <c r="B115" s="181"/>
      <c r="C115" s="1623"/>
      <c r="D115" s="1624"/>
      <c r="E115" s="1624"/>
      <c r="F115" s="1624"/>
      <c r="G115" s="1624"/>
      <c r="H115" s="1624"/>
      <c r="I115" s="1624"/>
      <c r="J115" s="1659" t="s">
        <v>5054</v>
      </c>
      <c r="K115" s="1659"/>
      <c r="L115" s="1659"/>
      <c r="M115" s="1659"/>
      <c r="N115" s="1659"/>
      <c r="O115" s="1659"/>
      <c r="P115" s="1659"/>
      <c r="Q115" s="1659"/>
      <c r="R115" s="1659"/>
      <c r="S115" s="1659"/>
      <c r="T115" s="1659"/>
      <c r="U115" s="1660"/>
      <c r="V115" s="1881">
        <v>1000</v>
      </c>
      <c r="W115" s="1882"/>
      <c r="X115" s="1882"/>
      <c r="Y115" s="1882"/>
      <c r="Z115" s="1882"/>
      <c r="AA115" s="1883" t="s">
        <v>5087</v>
      </c>
      <c r="AB115" s="1884"/>
      <c r="AT115" s="902"/>
      <c r="AU115" s="171"/>
      <c r="AV115" s="151" t="b">
        <v>1</v>
      </c>
      <c r="AW115" s="531" t="str">
        <f>IF(AV115=TRUE,IF(AND(AV45=TRUE,AV116=TRUE),"OK","NG"),"OK")</f>
        <v>OK</v>
      </c>
      <c r="AX115" s="499" t="s">
        <v>2108</v>
      </c>
      <c r="BX115" s="4"/>
      <c r="BZ115" s="89"/>
      <c r="CD115" s="108"/>
      <c r="CE115" s="108"/>
      <c r="CF115" s="108"/>
      <c r="CH115" s="148" t="s">
        <v>493</v>
      </c>
      <c r="CI115" s="148" t="s">
        <v>21</v>
      </c>
      <c r="CJ115" s="148">
        <v>40</v>
      </c>
      <c r="CK115" s="148" t="s">
        <v>83</v>
      </c>
      <c r="CL115" s="148" t="s">
        <v>83</v>
      </c>
      <c r="CM115" s="148"/>
      <c r="CN115" s="148" t="s">
        <v>612</v>
      </c>
      <c r="CO115" s="149" t="s">
        <v>495</v>
      </c>
      <c r="CP115" s="150"/>
      <c r="CQ115" s="2"/>
      <c r="CR115" s="45"/>
      <c r="CS115" s="45"/>
      <c r="CT115" s="45"/>
      <c r="CU115" s="45"/>
      <c r="CV115" s="10"/>
      <c r="CW115" s="32"/>
      <c r="CX115" s="32"/>
      <c r="CY115" s="31"/>
      <c r="CZ115" s="33"/>
      <c r="DA115" s="31"/>
      <c r="DC115" s="32"/>
      <c r="DD115" s="32"/>
      <c r="DE115" s="87"/>
      <c r="DF115" s="64"/>
      <c r="DG115" s="64"/>
      <c r="DO115" s="10"/>
      <c r="DP115" s="10"/>
      <c r="DX115" s="85"/>
      <c r="DY115" s="85"/>
    </row>
    <row r="116" spans="1:129" ht="19.5" customHeight="1">
      <c r="A116" s="354"/>
      <c r="B116" s="181"/>
      <c r="C116" s="1623"/>
      <c r="D116" s="1624"/>
      <c r="E116" s="1624"/>
      <c r="F116" s="1624"/>
      <c r="G116" s="1624"/>
      <c r="H116" s="1624"/>
      <c r="I116" s="1624"/>
      <c r="J116" s="1659" t="s">
        <v>5055</v>
      </c>
      <c r="K116" s="1659"/>
      <c r="L116" s="1659"/>
      <c r="M116" s="1659"/>
      <c r="N116" s="1659"/>
      <c r="O116" s="1659"/>
      <c r="P116" s="1659"/>
      <c r="Q116" s="1659"/>
      <c r="R116" s="1659"/>
      <c r="S116" s="1659"/>
      <c r="T116" s="1659"/>
      <c r="U116" s="1660"/>
      <c r="V116" s="1661">
        <v>1000</v>
      </c>
      <c r="W116" s="1662"/>
      <c r="X116" s="1662"/>
      <c r="Y116" s="1662"/>
      <c r="Z116" s="1662"/>
      <c r="AA116" s="1885" t="s">
        <v>5087</v>
      </c>
      <c r="AB116" s="1886"/>
      <c r="AC116" s="963"/>
      <c r="AD116" s="964"/>
      <c r="AE116" s="964"/>
      <c r="AF116" s="964"/>
      <c r="AG116" s="965"/>
      <c r="AH116" s="965"/>
      <c r="AI116" s="965"/>
      <c r="AJ116" s="965"/>
      <c r="AK116" s="965"/>
      <c r="AL116" s="965"/>
      <c r="AM116" s="965"/>
      <c r="AN116" s="965"/>
      <c r="AO116" s="965"/>
      <c r="AP116" s="965"/>
      <c r="AQ116" s="965"/>
      <c r="AR116" s="965"/>
      <c r="AS116" s="965"/>
      <c r="AT116" s="966"/>
      <c r="AU116" s="171"/>
      <c r="AV116" s="151" t="b">
        <v>1</v>
      </c>
      <c r="BY116" s="4"/>
      <c r="BZ116" s="89"/>
      <c r="CD116" s="108"/>
      <c r="CE116" s="108"/>
      <c r="CF116" s="108"/>
      <c r="CH116" s="148" t="s">
        <v>496</v>
      </c>
      <c r="CI116" s="148" t="s">
        <v>63</v>
      </c>
      <c r="CJ116" s="148">
        <v>1</v>
      </c>
      <c r="CK116" s="148" t="s">
        <v>83</v>
      </c>
      <c r="CL116" s="148" t="s">
        <v>83</v>
      </c>
      <c r="CM116" s="148" t="s">
        <v>497</v>
      </c>
      <c r="CN116" s="148" t="s">
        <v>610</v>
      </c>
      <c r="CO116" s="149" t="s">
        <v>76</v>
      </c>
      <c r="CP116" s="150"/>
      <c r="CQ116" s="2"/>
      <c r="CR116" s="45"/>
      <c r="CS116" s="45"/>
      <c r="CT116" s="45"/>
      <c r="CU116" s="45"/>
      <c r="CV116" s="10"/>
      <c r="CW116" s="32"/>
      <c r="CX116" s="32"/>
      <c r="CY116" s="31"/>
      <c r="CZ116" s="33"/>
      <c r="DA116" s="31"/>
      <c r="DC116" s="32"/>
      <c r="DD116" s="32"/>
      <c r="DE116" s="87"/>
      <c r="DF116" s="64"/>
      <c r="DG116" s="64"/>
      <c r="DO116" s="10"/>
      <c r="DP116" s="10"/>
      <c r="DX116" s="85"/>
      <c r="DY116" s="85"/>
    </row>
    <row r="117" spans="1:129" ht="19.5" customHeight="1">
      <c r="A117" s="354"/>
      <c r="B117" s="181"/>
      <c r="C117" s="1623"/>
      <c r="D117" s="1624"/>
      <c r="E117" s="1624"/>
      <c r="F117" s="1624"/>
      <c r="G117" s="1624"/>
      <c r="H117" s="1624"/>
      <c r="I117" s="1624"/>
      <c r="J117" s="1659" t="s">
        <v>5056</v>
      </c>
      <c r="K117" s="1659"/>
      <c r="L117" s="1659"/>
      <c r="M117" s="1659"/>
      <c r="N117" s="1659"/>
      <c r="O117" s="1659"/>
      <c r="P117" s="1659"/>
      <c r="Q117" s="1659"/>
      <c r="R117" s="1659"/>
      <c r="S117" s="1659"/>
      <c r="T117" s="1659"/>
      <c r="U117" s="1660"/>
      <c r="V117" s="1661">
        <v>1000</v>
      </c>
      <c r="W117" s="1662"/>
      <c r="X117" s="1662"/>
      <c r="Y117" s="1662"/>
      <c r="Z117" s="1662"/>
      <c r="AA117" s="1883" t="s">
        <v>5086</v>
      </c>
      <c r="AB117" s="1884"/>
      <c r="AC117" s="112"/>
      <c r="AD117" s="112"/>
      <c r="AE117" s="112"/>
      <c r="AF117" s="112"/>
      <c r="AG117" s="112"/>
      <c r="AH117" s="112"/>
      <c r="AI117" s="112"/>
      <c r="AJ117" s="112"/>
      <c r="AK117" s="112"/>
      <c r="AT117" s="902"/>
      <c r="AU117" s="171"/>
      <c r="BY117" s="4"/>
      <c r="BZ117" s="89"/>
      <c r="CD117" s="108"/>
      <c r="CE117" s="108"/>
      <c r="CF117" s="108"/>
      <c r="CH117" s="148" t="s">
        <v>498</v>
      </c>
      <c r="CI117" s="148" t="s">
        <v>21</v>
      </c>
      <c r="CJ117" s="148">
        <v>255</v>
      </c>
      <c r="CK117" s="148" t="s">
        <v>83</v>
      </c>
      <c r="CL117" s="148" t="s">
        <v>83</v>
      </c>
      <c r="CM117" s="148"/>
      <c r="CN117" s="148" t="s">
        <v>613</v>
      </c>
      <c r="CO117" s="149" t="s">
        <v>75</v>
      </c>
      <c r="CP117" s="150"/>
      <c r="CQ117" s="2"/>
      <c r="CR117" s="45"/>
      <c r="CS117" s="45"/>
      <c r="CT117" s="45"/>
      <c r="CU117" s="45"/>
      <c r="CV117" s="10"/>
      <c r="CW117" s="32"/>
      <c r="CX117" s="32"/>
      <c r="CY117" s="31"/>
      <c r="CZ117" s="33"/>
      <c r="DA117" s="31"/>
      <c r="DC117" s="32"/>
      <c r="DD117" s="32"/>
      <c r="DE117" s="87"/>
      <c r="DF117" s="64"/>
      <c r="DG117" s="64"/>
      <c r="DO117" s="10"/>
      <c r="DP117" s="10"/>
      <c r="DX117" s="85"/>
      <c r="DY117" s="85"/>
    </row>
    <row r="118" spans="1:129" ht="19.5" customHeight="1" thickBot="1">
      <c r="A118" s="354"/>
      <c r="B118" s="181"/>
      <c r="C118" s="1623"/>
      <c r="D118" s="1624"/>
      <c r="E118" s="1624"/>
      <c r="F118" s="1624"/>
      <c r="G118" s="1624"/>
      <c r="H118" s="1624"/>
      <c r="I118" s="1624"/>
      <c r="J118" s="1663" t="s">
        <v>5057</v>
      </c>
      <c r="K118" s="1663"/>
      <c r="L118" s="1663"/>
      <c r="M118" s="1663"/>
      <c r="N118" s="1663"/>
      <c r="O118" s="1663"/>
      <c r="P118" s="1663"/>
      <c r="Q118" s="1663"/>
      <c r="R118" s="1663"/>
      <c r="S118" s="1663"/>
      <c r="T118" s="1663"/>
      <c r="U118" s="1664"/>
      <c r="V118" s="1665">
        <v>300</v>
      </c>
      <c r="W118" s="1666"/>
      <c r="X118" s="1666"/>
      <c r="Y118" s="1666"/>
      <c r="Z118" s="1666"/>
      <c r="AA118" s="1887" t="s">
        <v>5087</v>
      </c>
      <c r="AB118" s="1888"/>
      <c r="AC118" s="597"/>
      <c r="AD118" s="597"/>
      <c r="AE118" s="597"/>
      <c r="AF118" s="597"/>
      <c r="AG118" s="598"/>
      <c r="AH118" s="598"/>
      <c r="AI118" s="598"/>
      <c r="AJ118" s="598"/>
      <c r="AK118" s="598"/>
      <c r="AL118" s="598"/>
      <c r="AM118" s="598"/>
      <c r="AN118" s="598"/>
      <c r="AO118" s="598"/>
      <c r="AP118" s="598"/>
      <c r="AQ118" s="598"/>
      <c r="AR118" s="598"/>
      <c r="AS118" s="598"/>
      <c r="AT118" s="599"/>
      <c r="AU118" s="171"/>
      <c r="AV118" s="151" t="b">
        <v>0</v>
      </c>
      <c r="BY118" s="4"/>
      <c r="BZ118" s="89"/>
      <c r="CD118" s="108"/>
      <c r="CE118" s="108"/>
      <c r="CF118" s="108"/>
      <c r="CH118" s="148" t="s">
        <v>499</v>
      </c>
      <c r="CI118" s="148" t="s">
        <v>63</v>
      </c>
      <c r="CJ118" s="148">
        <v>1</v>
      </c>
      <c r="CK118" s="148" t="s">
        <v>83</v>
      </c>
      <c r="CL118" s="148" t="s">
        <v>83</v>
      </c>
      <c r="CM118" s="148" t="s">
        <v>501</v>
      </c>
      <c r="CN118" s="148" t="s">
        <v>610</v>
      </c>
      <c r="CO118" s="149" t="s">
        <v>74</v>
      </c>
      <c r="CP118" s="150"/>
      <c r="CQ118" s="2"/>
      <c r="CR118" s="45"/>
      <c r="CS118" s="45"/>
      <c r="CT118" s="45"/>
      <c r="CU118" s="45"/>
      <c r="CV118" s="10"/>
      <c r="CW118" s="32"/>
      <c r="CX118" s="32"/>
      <c r="CY118" s="31"/>
      <c r="CZ118" s="33"/>
      <c r="DA118" s="31"/>
      <c r="DC118" s="32"/>
      <c r="DD118" s="32"/>
      <c r="DE118" s="87"/>
      <c r="DF118" s="64"/>
      <c r="DG118" s="64"/>
      <c r="DO118" s="10"/>
      <c r="DP118" s="10"/>
      <c r="DV118" s="21"/>
      <c r="DX118" s="85"/>
      <c r="DY118" s="85"/>
    </row>
    <row r="119" spans="1:129" ht="19.5" customHeight="1">
      <c r="A119" s="354"/>
      <c r="B119" s="181"/>
      <c r="C119" s="1623"/>
      <c r="D119" s="1624"/>
      <c r="E119" s="1624"/>
      <c r="F119" s="1624"/>
      <c r="G119" s="1624"/>
      <c r="H119" s="1624"/>
      <c r="I119" s="1624"/>
      <c r="J119" s="1667" t="s">
        <v>5523</v>
      </c>
      <c r="K119" s="1667"/>
      <c r="L119" s="1667"/>
      <c r="M119" s="1667"/>
      <c r="N119" s="1667"/>
      <c r="O119" s="1667"/>
      <c r="P119" s="1667"/>
      <c r="Q119" s="1667"/>
      <c r="R119" s="1667"/>
      <c r="S119" s="1667"/>
      <c r="T119" s="1667"/>
      <c r="U119" s="1668"/>
      <c r="V119" s="1669">
        <v>2900</v>
      </c>
      <c r="W119" s="1670"/>
      <c r="X119" s="1670"/>
      <c r="Y119" s="1670"/>
      <c r="Z119" s="1671"/>
      <c r="AA119" s="1049"/>
      <c r="AB119" s="1050"/>
      <c r="AC119" s="1051"/>
      <c r="AD119" s="1052"/>
      <c r="AE119" s="1052"/>
      <c r="AF119" s="1052"/>
      <c r="AG119" s="598"/>
      <c r="AH119" s="598"/>
      <c r="AI119" s="598"/>
      <c r="AJ119" s="598"/>
      <c r="AK119" s="598"/>
      <c r="AL119" s="598"/>
      <c r="AM119" s="598"/>
      <c r="AN119" s="598"/>
      <c r="AO119" s="598"/>
      <c r="AP119" s="598"/>
      <c r="AQ119" s="598"/>
      <c r="AR119" s="598"/>
      <c r="AS119" s="598"/>
      <c r="AT119" s="599"/>
      <c r="AU119" s="171"/>
      <c r="AV119" s="151" t="b">
        <v>0</v>
      </c>
      <c r="BY119" s="4"/>
      <c r="BZ119" s="89"/>
      <c r="CD119" s="108"/>
      <c r="CE119" s="108"/>
      <c r="CF119" s="108"/>
      <c r="CG119" s="21"/>
      <c r="CH119" s="148" t="s">
        <v>502</v>
      </c>
      <c r="CI119" s="148" t="s">
        <v>21</v>
      </c>
      <c r="CJ119" s="148">
        <v>255</v>
      </c>
      <c r="CK119" s="148" t="s">
        <v>83</v>
      </c>
      <c r="CL119" s="148" t="s">
        <v>83</v>
      </c>
      <c r="CM119" s="148"/>
      <c r="CN119" s="148" t="s">
        <v>613</v>
      </c>
      <c r="CO119" s="149" t="s">
        <v>73</v>
      </c>
      <c r="CP119" s="150"/>
      <c r="CQ119" s="2"/>
      <c r="CR119" s="45"/>
      <c r="CS119" s="45"/>
      <c r="CT119" s="45"/>
      <c r="CU119" s="45"/>
      <c r="CV119" s="10"/>
      <c r="CW119" s="32"/>
      <c r="CX119" s="32"/>
      <c r="CY119" s="31"/>
      <c r="CZ119" s="33"/>
      <c r="DA119" s="31"/>
      <c r="DC119" s="32"/>
      <c r="DD119" s="32"/>
      <c r="DE119" s="87"/>
      <c r="DF119" s="64"/>
      <c r="DG119" s="64"/>
      <c r="DO119" s="10"/>
      <c r="DP119" s="10"/>
      <c r="DV119" s="21"/>
      <c r="DX119" s="85"/>
      <c r="DY119" s="85"/>
    </row>
    <row r="120" spans="1:129" ht="19.5" customHeight="1" thickBot="1">
      <c r="A120" s="354"/>
      <c r="B120" s="181"/>
      <c r="C120" s="1625"/>
      <c r="D120" s="1626"/>
      <c r="E120" s="1626"/>
      <c r="F120" s="1626"/>
      <c r="G120" s="1626"/>
      <c r="H120" s="1626"/>
      <c r="I120" s="1626"/>
      <c r="J120" s="1627" t="s">
        <v>5058</v>
      </c>
      <c r="K120" s="1627"/>
      <c r="L120" s="1627"/>
      <c r="M120" s="1627"/>
      <c r="N120" s="1627"/>
      <c r="O120" s="1627"/>
      <c r="P120" s="1627"/>
      <c r="Q120" s="1627"/>
      <c r="R120" s="1627"/>
      <c r="S120" s="1627"/>
      <c r="T120" s="1627"/>
      <c r="U120" s="1628"/>
      <c r="V120" s="1629">
        <v>2900</v>
      </c>
      <c r="W120" s="1630"/>
      <c r="X120" s="1630"/>
      <c r="Y120" s="1630"/>
      <c r="Z120" s="1631"/>
      <c r="AA120" s="1110"/>
      <c r="AB120" s="1111"/>
      <c r="AC120" s="1053"/>
      <c r="AD120" s="1054"/>
      <c r="AE120" s="1054"/>
      <c r="AF120" s="1054"/>
      <c r="AG120" s="1054"/>
      <c r="AH120" s="1054"/>
      <c r="AI120" s="1054"/>
      <c r="AJ120" s="1054"/>
      <c r="AK120" s="1054"/>
      <c r="AL120" s="1054"/>
      <c r="AM120" s="1054"/>
      <c r="AN120" s="1054"/>
      <c r="AO120" s="1054"/>
      <c r="AP120" s="1054"/>
      <c r="AQ120" s="1054"/>
      <c r="AR120" s="1054"/>
      <c r="AS120" s="1054"/>
      <c r="AT120" s="1055"/>
      <c r="AU120" s="171"/>
      <c r="AV120" s="151" t="b">
        <v>0</v>
      </c>
      <c r="BY120" s="4"/>
      <c r="BZ120" s="89"/>
      <c r="CD120" s="108"/>
      <c r="CE120" s="108"/>
      <c r="CF120" s="108"/>
      <c r="CG120" s="21"/>
      <c r="CH120" s="148" t="s">
        <v>503</v>
      </c>
      <c r="CI120" s="148" t="s">
        <v>63</v>
      </c>
      <c r="CJ120" s="148">
        <v>1</v>
      </c>
      <c r="CK120" s="148" t="s">
        <v>83</v>
      </c>
      <c r="CL120" s="148" t="s">
        <v>83</v>
      </c>
      <c r="CM120" s="148" t="s">
        <v>433</v>
      </c>
      <c r="CN120" s="148" t="s">
        <v>610</v>
      </c>
      <c r="CO120" s="215" t="s">
        <v>72</v>
      </c>
      <c r="CP120" s="150"/>
      <c r="CQ120" s="2"/>
      <c r="CR120" s="45"/>
      <c r="CS120" s="45"/>
      <c r="CT120" s="45"/>
      <c r="CU120" s="45"/>
      <c r="CV120" s="10"/>
      <c r="CW120" s="32"/>
      <c r="CX120" s="32"/>
      <c r="CY120" s="31"/>
      <c r="CZ120" s="33"/>
      <c r="DA120" s="31"/>
      <c r="DC120" s="32"/>
      <c r="DD120" s="32"/>
      <c r="DE120" s="87"/>
      <c r="DF120" s="64"/>
      <c r="DO120" s="10"/>
      <c r="DP120" s="10"/>
      <c r="DV120" s="21"/>
      <c r="DX120" s="85"/>
      <c r="DY120" s="85"/>
    </row>
    <row r="121" spans="1:129" ht="19.5" customHeight="1" thickBot="1">
      <c r="A121" s="354"/>
      <c r="B121" s="181"/>
      <c r="C121" s="1892" t="s">
        <v>5756</v>
      </c>
      <c r="D121" s="1893"/>
      <c r="E121" s="1893"/>
      <c r="F121" s="1893"/>
      <c r="G121" s="1893"/>
      <c r="H121" s="1893"/>
      <c r="I121" s="1893"/>
      <c r="J121" s="1893"/>
      <c r="K121" s="1893"/>
      <c r="L121" s="1893"/>
      <c r="M121" s="1893"/>
      <c r="N121" s="1893"/>
      <c r="O121" s="1893"/>
      <c r="P121" s="1893"/>
      <c r="Q121" s="1893"/>
      <c r="R121" s="1893"/>
      <c r="S121" s="1893"/>
      <c r="T121" s="1893"/>
      <c r="U121" s="1893"/>
      <c r="V121" s="1894">
        <v>780</v>
      </c>
      <c r="W121" s="1895"/>
      <c r="X121" s="1895"/>
      <c r="Y121" s="1895"/>
      <c r="Z121" s="1895"/>
      <c r="AA121" s="1896" t="s">
        <v>5087</v>
      </c>
      <c r="AB121" s="1897"/>
      <c r="AC121" s="1898" t="s">
        <v>5757</v>
      </c>
      <c r="AD121" s="1898"/>
      <c r="AE121" s="1898"/>
      <c r="AF121" s="1898"/>
      <c r="AG121" s="1898"/>
      <c r="AH121" s="1898"/>
      <c r="AI121" s="1898"/>
      <c r="AJ121" s="1898"/>
      <c r="AK121" s="1898"/>
      <c r="AL121" s="1898"/>
      <c r="AM121" s="1898"/>
      <c r="AN121" s="1898"/>
      <c r="AO121" s="1898"/>
      <c r="AP121" s="1898"/>
      <c r="AQ121" s="1898"/>
      <c r="AR121" s="1898"/>
      <c r="AS121" s="1898"/>
      <c r="AT121" s="1899"/>
      <c r="AU121" s="171"/>
      <c r="BY121" s="4"/>
      <c r="BZ121" s="89"/>
      <c r="CD121" s="108"/>
      <c r="CE121" s="108"/>
      <c r="CF121" s="108"/>
      <c r="CG121" s="21"/>
      <c r="CH121" s="148" t="s">
        <v>505</v>
      </c>
      <c r="CI121" s="148" t="s">
        <v>63</v>
      </c>
      <c r="CJ121" s="148">
        <v>1</v>
      </c>
      <c r="CK121" s="148" t="s">
        <v>83</v>
      </c>
      <c r="CL121" s="148" t="s">
        <v>83</v>
      </c>
      <c r="CM121" s="148" t="s">
        <v>433</v>
      </c>
      <c r="CN121" s="148" t="s">
        <v>610</v>
      </c>
      <c r="CO121" s="215" t="s">
        <v>71</v>
      </c>
      <c r="CP121" s="150"/>
      <c r="CQ121" s="2"/>
      <c r="CR121" s="45"/>
      <c r="CS121" s="45"/>
      <c r="CT121" s="45"/>
      <c r="CU121" s="45"/>
      <c r="CV121" s="10"/>
      <c r="CW121" s="32"/>
      <c r="CX121" s="32"/>
      <c r="CY121" s="31"/>
      <c r="CZ121" s="33"/>
      <c r="DA121" s="31"/>
      <c r="DC121" s="32"/>
      <c r="DD121" s="32"/>
      <c r="DE121" s="87"/>
      <c r="DF121" s="64"/>
      <c r="DO121" s="10"/>
      <c r="DP121" s="10"/>
      <c r="DV121" s="21"/>
      <c r="DX121" s="85"/>
      <c r="DY121" s="85"/>
    </row>
    <row r="122" spans="1:129" ht="19.5" customHeight="1">
      <c r="A122" s="111"/>
      <c r="B122" s="181"/>
      <c r="C122" s="134"/>
      <c r="D122" s="134"/>
      <c r="E122" s="134"/>
      <c r="F122" s="134"/>
      <c r="G122" s="134"/>
      <c r="H122" s="134"/>
      <c r="I122" s="134"/>
      <c r="J122" s="134"/>
      <c r="K122" s="134"/>
      <c r="L122" s="155"/>
      <c r="M122" s="1494" t="str">
        <f>IF(AND(AV18=TRUE,AA126="",AA127=""),"端末等の必要台数をご記入ください。","")</f>
        <v/>
      </c>
      <c r="N122" s="1136"/>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71"/>
      <c r="AW122" s="151"/>
      <c r="BY122" s="4"/>
      <c r="BZ122" s="89"/>
      <c r="CC122" s="4"/>
      <c r="CD122" s="108"/>
      <c r="CE122" s="108"/>
      <c r="CF122" s="108"/>
      <c r="CG122" s="21"/>
      <c r="CH122" s="148" t="s">
        <v>506</v>
      </c>
      <c r="CI122" s="148" t="s">
        <v>63</v>
      </c>
      <c r="CJ122" s="148">
        <v>1</v>
      </c>
      <c r="CK122" s="148" t="s">
        <v>83</v>
      </c>
      <c r="CL122" s="148" t="s">
        <v>83</v>
      </c>
      <c r="CM122" s="148" t="s">
        <v>433</v>
      </c>
      <c r="CN122" s="148" t="s">
        <v>610</v>
      </c>
      <c r="CO122" s="215" t="s">
        <v>70</v>
      </c>
      <c r="CP122" s="150"/>
      <c r="CQ122" s="2"/>
      <c r="CR122" s="45"/>
      <c r="CS122" s="45"/>
      <c r="CT122" s="45"/>
      <c r="CU122" s="45"/>
      <c r="CV122" s="10"/>
      <c r="CW122" s="32"/>
      <c r="CX122" s="32"/>
      <c r="CY122" s="31"/>
      <c r="CZ122" s="33"/>
      <c r="DA122" s="31"/>
      <c r="DC122" s="32"/>
      <c r="DD122" s="32"/>
      <c r="DE122" s="87"/>
      <c r="DF122" s="64"/>
      <c r="DO122" s="10"/>
      <c r="DP122" s="10"/>
      <c r="DV122" s="21"/>
      <c r="DX122" s="85"/>
      <c r="DY122" s="85"/>
    </row>
    <row r="123" spans="1:129" ht="19.5" customHeight="1" thickBot="1">
      <c r="A123" s="111"/>
      <c r="B123" s="181"/>
      <c r="C123" s="134"/>
      <c r="D123" s="134"/>
      <c r="E123" s="134"/>
      <c r="F123" s="134"/>
      <c r="G123" s="134"/>
      <c r="H123" s="134"/>
      <c r="I123" s="134"/>
      <c r="J123" s="134"/>
      <c r="K123" s="134"/>
      <c r="L123" s="155"/>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7"/>
      <c r="AG123" s="1137"/>
      <c r="AH123" s="1137"/>
      <c r="AI123" s="1137"/>
      <c r="AJ123" s="1137"/>
      <c r="AK123" s="1137"/>
      <c r="AL123" s="1137"/>
      <c r="AM123" s="1137"/>
      <c r="AN123" s="1137"/>
      <c r="AO123" s="1137"/>
      <c r="AP123" s="1137"/>
      <c r="AQ123" s="1137"/>
      <c r="AR123" s="1137"/>
      <c r="AS123" s="1137"/>
      <c r="AT123" s="1137"/>
      <c r="AU123" s="171"/>
      <c r="BY123" s="4"/>
      <c r="BZ123" s="89"/>
      <c r="CC123" s="4"/>
      <c r="CD123" s="108"/>
      <c r="CE123" s="108"/>
      <c r="CF123" s="108"/>
      <c r="CG123" s="21"/>
      <c r="CH123" s="148" t="s">
        <v>509</v>
      </c>
      <c r="CI123" s="148" t="s">
        <v>21</v>
      </c>
      <c r="CJ123" s="148">
        <v>255</v>
      </c>
      <c r="CK123" s="148" t="s">
        <v>83</v>
      </c>
      <c r="CL123" s="148" t="s">
        <v>83</v>
      </c>
      <c r="CM123" s="148"/>
      <c r="CN123" s="148" t="s">
        <v>613</v>
      </c>
      <c r="CO123" s="215" t="s">
        <v>69</v>
      </c>
      <c r="CP123" s="150"/>
      <c r="CQ123" s="2"/>
      <c r="CR123" s="45"/>
      <c r="CS123" s="45"/>
      <c r="CT123" s="45"/>
      <c r="CU123" s="45"/>
      <c r="CV123" s="10"/>
      <c r="CW123" s="32"/>
      <c r="CX123" s="32"/>
      <c r="CY123" s="31"/>
      <c r="CZ123" s="33"/>
      <c r="DA123" s="31"/>
      <c r="DC123" s="32"/>
      <c r="DD123" s="32"/>
      <c r="DE123" s="87"/>
      <c r="DF123" s="64"/>
      <c r="DO123" s="10"/>
      <c r="DP123" s="10"/>
      <c r="DV123" s="21"/>
      <c r="DX123" s="85"/>
      <c r="DY123" s="85"/>
    </row>
    <row r="124" spans="1:129" ht="19.5" customHeight="1" thickTop="1">
      <c r="A124" s="111"/>
      <c r="B124" s="181"/>
      <c r="C124" s="1848"/>
      <c r="D124" s="1849"/>
      <c r="E124" s="1849"/>
      <c r="F124" s="1849"/>
      <c r="G124" s="1849"/>
      <c r="H124" s="1849"/>
      <c r="I124" s="1849"/>
      <c r="J124" s="1849"/>
      <c r="K124" s="1849"/>
      <c r="L124" s="1849"/>
      <c r="M124" s="1849"/>
      <c r="N124" s="1849"/>
      <c r="O124" s="1849"/>
      <c r="P124" s="1849"/>
      <c r="Q124" s="1849"/>
      <c r="R124" s="1849"/>
      <c r="S124" s="1849"/>
      <c r="T124" s="1849"/>
      <c r="U124" s="1850"/>
      <c r="V124" s="1854" t="s">
        <v>3773</v>
      </c>
      <c r="W124" s="1855"/>
      <c r="X124" s="1855"/>
      <c r="Y124" s="1855"/>
      <c r="Z124" s="1856"/>
      <c r="AA124" s="1860" t="s">
        <v>847</v>
      </c>
      <c r="AB124" s="1860"/>
      <c r="AC124" s="1860"/>
      <c r="AD124" s="1861"/>
      <c r="AE124" s="2485" t="s">
        <v>3774</v>
      </c>
      <c r="AF124" s="2485"/>
      <c r="AG124" s="2485"/>
      <c r="AH124" s="2485"/>
      <c r="AI124" s="2485"/>
      <c r="AJ124" s="2486"/>
      <c r="AK124" s="2488" t="s">
        <v>850</v>
      </c>
      <c r="AL124" s="2489"/>
      <c r="AM124" s="2489"/>
      <c r="AN124" s="2489"/>
      <c r="AO124" s="2489"/>
      <c r="AP124" s="2489"/>
      <c r="AQ124" s="2489"/>
      <c r="AR124" s="2489"/>
      <c r="AS124" s="2489"/>
      <c r="AT124" s="2490"/>
      <c r="AU124" s="171"/>
      <c r="BY124" s="4"/>
      <c r="BZ124" s="89"/>
      <c r="CC124" s="4"/>
      <c r="CD124" s="108"/>
      <c r="CE124" s="108"/>
      <c r="CF124" s="108"/>
      <c r="CG124" s="21"/>
      <c r="CH124" s="148" t="s">
        <v>511</v>
      </c>
      <c r="CI124" s="148" t="s">
        <v>21</v>
      </c>
      <c r="CJ124" s="148">
        <v>255</v>
      </c>
      <c r="CK124" s="148" t="s">
        <v>83</v>
      </c>
      <c r="CL124" s="148" t="s">
        <v>83</v>
      </c>
      <c r="CM124" s="148"/>
      <c r="CN124" s="148"/>
      <c r="CO124" s="149" t="s">
        <v>68</v>
      </c>
      <c r="CP124" s="150"/>
      <c r="CQ124" s="2"/>
      <c r="CR124" s="45"/>
      <c r="CS124" s="45"/>
      <c r="CT124" s="45"/>
      <c r="CU124" s="45"/>
      <c r="CV124" s="10"/>
      <c r="CW124" s="32"/>
      <c r="CX124" s="32"/>
      <c r="CY124" s="31"/>
      <c r="CZ124" s="33"/>
      <c r="DA124" s="31"/>
      <c r="DC124" s="32"/>
      <c r="DD124" s="32"/>
      <c r="DE124" s="87"/>
      <c r="DF124" s="64"/>
      <c r="DO124" s="10"/>
      <c r="DP124" s="10"/>
      <c r="DV124" s="21"/>
      <c r="DX124" s="85"/>
      <c r="DY124" s="85"/>
    </row>
    <row r="125" spans="1:129" ht="19.5" customHeight="1">
      <c r="A125" s="111"/>
      <c r="B125" s="181"/>
      <c r="C125" s="1851"/>
      <c r="D125" s="1852"/>
      <c r="E125" s="1852"/>
      <c r="F125" s="1852"/>
      <c r="G125" s="1852"/>
      <c r="H125" s="1852"/>
      <c r="I125" s="1852"/>
      <c r="J125" s="1852"/>
      <c r="K125" s="1852"/>
      <c r="L125" s="1852"/>
      <c r="M125" s="1852"/>
      <c r="N125" s="1852"/>
      <c r="O125" s="1852"/>
      <c r="P125" s="1852"/>
      <c r="Q125" s="1852"/>
      <c r="R125" s="1852"/>
      <c r="S125" s="1852"/>
      <c r="T125" s="1852"/>
      <c r="U125" s="1853"/>
      <c r="V125" s="1857"/>
      <c r="W125" s="1858"/>
      <c r="X125" s="1858"/>
      <c r="Y125" s="1858"/>
      <c r="Z125" s="1859"/>
      <c r="AA125" s="1862"/>
      <c r="AB125" s="1863"/>
      <c r="AC125" s="1863"/>
      <c r="AD125" s="1864"/>
      <c r="AE125" s="1858"/>
      <c r="AF125" s="1858"/>
      <c r="AG125" s="1858"/>
      <c r="AH125" s="1858"/>
      <c r="AI125" s="1858"/>
      <c r="AJ125" s="2487"/>
      <c r="AK125" s="2491"/>
      <c r="AL125" s="2492"/>
      <c r="AM125" s="2492"/>
      <c r="AN125" s="2492"/>
      <c r="AO125" s="2492"/>
      <c r="AP125" s="2492"/>
      <c r="AQ125" s="2492"/>
      <c r="AR125" s="2492"/>
      <c r="AS125" s="2492"/>
      <c r="AT125" s="2493"/>
      <c r="AU125" s="171"/>
      <c r="BY125" s="4"/>
      <c r="BZ125" s="89"/>
      <c r="CC125" s="4"/>
      <c r="CD125" s="108"/>
      <c r="CE125" s="108"/>
      <c r="CF125" s="108"/>
      <c r="CG125" s="21">
        <v>5077</v>
      </c>
      <c r="CH125" s="148" t="s">
        <v>512</v>
      </c>
      <c r="CI125" s="148" t="s">
        <v>63</v>
      </c>
      <c r="CJ125" s="148">
        <v>1</v>
      </c>
      <c r="CK125" s="148" t="s">
        <v>83</v>
      </c>
      <c r="CL125" s="148" t="s">
        <v>83</v>
      </c>
      <c r="CM125" s="148" t="s">
        <v>513</v>
      </c>
      <c r="CN125" s="148" t="s">
        <v>610</v>
      </c>
      <c r="CO125" s="149" t="s">
        <v>67</v>
      </c>
      <c r="CP125" s="150"/>
      <c r="CQ125" s="2"/>
      <c r="CR125" s="45"/>
      <c r="CS125" s="45"/>
      <c r="CT125" s="45"/>
      <c r="CU125" s="45"/>
      <c r="CV125" s="10"/>
      <c r="CW125" s="32"/>
      <c r="CX125" s="32"/>
      <c r="CY125" s="31"/>
      <c r="CZ125" s="33"/>
      <c r="DA125" s="31"/>
      <c r="DC125" s="32"/>
      <c r="DD125" s="32"/>
      <c r="DE125" s="87"/>
      <c r="DF125" s="64"/>
      <c r="DO125" s="10"/>
      <c r="DP125" s="10"/>
      <c r="DV125" s="21"/>
      <c r="DX125" s="85"/>
      <c r="DY125" s="85"/>
    </row>
    <row r="126" spans="1:129" ht="19.5" customHeight="1">
      <c r="A126" s="111"/>
      <c r="B126" s="181"/>
      <c r="C126" s="1865" t="s">
        <v>851</v>
      </c>
      <c r="D126" s="1866"/>
      <c r="E126" s="1866"/>
      <c r="F126" s="1866"/>
      <c r="G126" s="1866"/>
      <c r="H126" s="1866"/>
      <c r="I126" s="1867"/>
      <c r="J126" s="1842" t="str">
        <f>記入シート2!J126</f>
        <v>A920MAX</v>
      </c>
      <c r="K126" s="1843"/>
      <c r="L126" s="1843"/>
      <c r="M126" s="1843"/>
      <c r="N126" s="1843"/>
      <c r="O126" s="1843"/>
      <c r="P126" s="1843"/>
      <c r="Q126" s="1843"/>
      <c r="R126" s="1843"/>
      <c r="S126" s="1843"/>
      <c r="T126" s="1843"/>
      <c r="U126" s="1844"/>
      <c r="V126" s="1846">
        <f>記入シート2!V126</f>
        <v>78980</v>
      </c>
      <c r="W126" s="1847"/>
      <c r="X126" s="1847"/>
      <c r="Y126" s="1847"/>
      <c r="Z126" s="833" t="str">
        <f>記入シート2!Z126</f>
        <v>/台</v>
      </c>
      <c r="AA126" s="1845">
        <v>1</v>
      </c>
      <c r="AB126" s="1829"/>
      <c r="AC126" s="1829"/>
      <c r="AD126" s="828" t="str">
        <f>記入シート2!AD126</f>
        <v>台</v>
      </c>
      <c r="AE126" s="1836">
        <f>IF(V126="","",V126*AA126)</f>
        <v>78980</v>
      </c>
      <c r="AF126" s="1837"/>
      <c r="AG126" s="1837"/>
      <c r="AH126" s="1837"/>
      <c r="AI126" s="1837"/>
      <c r="AJ126" s="1838"/>
      <c r="AK126" s="1839"/>
      <c r="AL126" s="1840"/>
      <c r="AM126" s="1840"/>
      <c r="AN126" s="1840"/>
      <c r="AO126" s="1840"/>
      <c r="AP126" s="1840"/>
      <c r="AQ126" s="1840"/>
      <c r="AR126" s="1840"/>
      <c r="AS126" s="1840"/>
      <c r="AT126" s="1841"/>
      <c r="AU126" s="171"/>
      <c r="AV126" s="393" t="str">
        <f>IF(COUNTBLANK(AA126:AA144)=0,"OK","NG")</f>
        <v>OK</v>
      </c>
      <c r="BY126" s="4"/>
      <c r="BZ126" s="89"/>
      <c r="CC126" s="4"/>
      <c r="CD126" s="108"/>
      <c r="CE126" s="108"/>
      <c r="CF126" s="108"/>
      <c r="CG126" s="21"/>
      <c r="CH126" s="148" t="s">
        <v>514</v>
      </c>
      <c r="CI126" s="148" t="s">
        <v>21</v>
      </c>
      <c r="CJ126" s="148">
        <v>255</v>
      </c>
      <c r="CK126" s="148" t="s">
        <v>83</v>
      </c>
      <c r="CL126" s="148" t="s">
        <v>83</v>
      </c>
      <c r="CM126" s="148"/>
      <c r="CN126" s="148" t="s">
        <v>613</v>
      </c>
      <c r="CO126" s="149" t="s">
        <v>66</v>
      </c>
      <c r="CP126" s="150"/>
      <c r="CQ126" s="2"/>
      <c r="CR126" s="45"/>
      <c r="CS126" s="45"/>
      <c r="CT126" s="45"/>
      <c r="CU126" s="45"/>
      <c r="CV126" s="10"/>
      <c r="CW126" s="32"/>
      <c r="CX126" s="32"/>
      <c r="CY126" s="31"/>
      <c r="CZ126" s="33"/>
      <c r="DA126" s="31"/>
      <c r="DC126" s="32"/>
      <c r="DD126" s="32"/>
      <c r="DE126" s="87"/>
      <c r="DF126" s="64"/>
      <c r="DO126" s="10"/>
      <c r="DP126" s="10"/>
      <c r="DV126" s="21"/>
      <c r="DX126" s="85"/>
      <c r="DY126" s="85"/>
    </row>
    <row r="127" spans="1:129" ht="19.5" customHeight="1">
      <c r="A127" s="354"/>
      <c r="B127" s="181"/>
      <c r="C127" s="1868"/>
      <c r="D127" s="1869"/>
      <c r="E127" s="1869"/>
      <c r="F127" s="1869"/>
      <c r="G127" s="1869"/>
      <c r="H127" s="1869"/>
      <c r="I127" s="1870"/>
      <c r="J127" s="1842" t="str">
        <f>記入シート2!J127</f>
        <v>クレードル費用</v>
      </c>
      <c r="K127" s="1843"/>
      <c r="L127" s="1843"/>
      <c r="M127" s="1843"/>
      <c r="N127" s="1843"/>
      <c r="O127" s="1843"/>
      <c r="P127" s="1843"/>
      <c r="Q127" s="1843"/>
      <c r="R127" s="1843"/>
      <c r="S127" s="1843"/>
      <c r="T127" s="1843"/>
      <c r="U127" s="1844"/>
      <c r="V127" s="1846">
        <f>記入シート2!V127</f>
        <v>14000</v>
      </c>
      <c r="W127" s="1847"/>
      <c r="X127" s="1847"/>
      <c r="Y127" s="1847"/>
      <c r="Z127" s="833" t="str">
        <f>記入シート2!Z127</f>
        <v>/台</v>
      </c>
      <c r="AA127" s="1845">
        <v>1</v>
      </c>
      <c r="AB127" s="1829"/>
      <c r="AC127" s="1829"/>
      <c r="AD127" s="828" t="str">
        <f>記入シート2!AD127</f>
        <v>台</v>
      </c>
      <c r="AE127" s="1836">
        <f t="shared" ref="AE127:AE129" si="16">IF(V127="","",V127*AA127)</f>
        <v>14000</v>
      </c>
      <c r="AF127" s="1837"/>
      <c r="AG127" s="1837"/>
      <c r="AH127" s="1837"/>
      <c r="AI127" s="1837"/>
      <c r="AJ127" s="1838"/>
      <c r="AK127" s="1839"/>
      <c r="AL127" s="1840"/>
      <c r="AM127" s="1840"/>
      <c r="AN127" s="1840"/>
      <c r="AO127" s="1840"/>
      <c r="AP127" s="1840"/>
      <c r="AQ127" s="1840"/>
      <c r="AR127" s="1840"/>
      <c r="AS127" s="1840"/>
      <c r="AT127" s="1841"/>
      <c r="AU127" s="171"/>
      <c r="AX127" s="253"/>
      <c r="BD127" s="477" t="s">
        <v>1073</v>
      </c>
      <c r="BY127" s="4"/>
      <c r="BZ127" s="89"/>
      <c r="CC127" s="4"/>
      <c r="CD127" s="108"/>
      <c r="CE127" s="108"/>
      <c r="CF127" s="108"/>
      <c r="CG127" s="21">
        <v>3108</v>
      </c>
      <c r="CH127" s="148" t="s">
        <v>515</v>
      </c>
      <c r="CI127" s="148" t="s">
        <v>21</v>
      </c>
      <c r="CJ127" s="148">
        <v>120</v>
      </c>
      <c r="CK127" s="148" t="s">
        <v>83</v>
      </c>
      <c r="CL127" s="148" t="s">
        <v>83</v>
      </c>
      <c r="CM127" s="148"/>
      <c r="CN127" s="148" t="s">
        <v>610</v>
      </c>
      <c r="CO127" s="215" t="s">
        <v>65</v>
      </c>
      <c r="CP127" s="150"/>
      <c r="CQ127" s="2"/>
      <c r="CR127" s="45"/>
      <c r="CS127" s="45"/>
      <c r="CT127" s="45"/>
      <c r="CU127" s="45"/>
      <c r="CV127" s="10"/>
      <c r="CW127" s="32"/>
      <c r="CX127" s="32"/>
      <c r="CY127" s="31"/>
      <c r="CZ127" s="33"/>
      <c r="DA127" s="31"/>
      <c r="DC127" s="32"/>
      <c r="DD127" s="32"/>
      <c r="DE127" s="87"/>
      <c r="DF127" s="64"/>
      <c r="DO127" s="10"/>
      <c r="DP127" s="10"/>
      <c r="DV127" s="21"/>
      <c r="DX127" s="85"/>
      <c r="DY127" s="85"/>
    </row>
    <row r="128" spans="1:129" ht="19.5" customHeight="1">
      <c r="A128" s="354"/>
      <c r="B128" s="181"/>
      <c r="C128" s="1868"/>
      <c r="D128" s="1869"/>
      <c r="E128" s="1869"/>
      <c r="F128" s="1869"/>
      <c r="G128" s="1869"/>
      <c r="H128" s="1869"/>
      <c r="I128" s="1870"/>
      <c r="J128" s="1842" t="str">
        <f>記入シート2!J128</f>
        <v>セットアップ費用</v>
      </c>
      <c r="K128" s="1843"/>
      <c r="L128" s="1843"/>
      <c r="M128" s="1843"/>
      <c r="N128" s="1843"/>
      <c r="O128" s="1843"/>
      <c r="P128" s="1843"/>
      <c r="Q128" s="1843"/>
      <c r="R128" s="1843"/>
      <c r="S128" s="1843"/>
      <c r="T128" s="1843"/>
      <c r="U128" s="1844"/>
      <c r="V128" s="1846">
        <f>記入シート2!V128</f>
        <v>7000</v>
      </c>
      <c r="W128" s="1847"/>
      <c r="X128" s="1847"/>
      <c r="Y128" s="1847"/>
      <c r="Z128" s="833" t="str">
        <f>記入シート2!Z128</f>
        <v>/台</v>
      </c>
      <c r="AA128" s="1845">
        <v>1</v>
      </c>
      <c r="AB128" s="1652"/>
      <c r="AC128" s="1652"/>
      <c r="AD128" s="828" t="str">
        <f>記入シート2!AD128</f>
        <v>台</v>
      </c>
      <c r="AE128" s="1836">
        <f t="shared" si="16"/>
        <v>7000</v>
      </c>
      <c r="AF128" s="1837"/>
      <c r="AG128" s="1837"/>
      <c r="AH128" s="1837"/>
      <c r="AI128" s="1837"/>
      <c r="AJ128" s="1838"/>
      <c r="AK128" s="1839"/>
      <c r="AL128" s="1840"/>
      <c r="AM128" s="1840"/>
      <c r="AN128" s="1840"/>
      <c r="AO128" s="1840"/>
      <c r="AP128" s="1840"/>
      <c r="AQ128" s="1840"/>
      <c r="AR128" s="1840"/>
      <c r="AS128" s="1840"/>
      <c r="AT128" s="1841"/>
      <c r="AU128" s="171"/>
      <c r="AV128" s="151" t="s">
        <v>3197</v>
      </c>
      <c r="AX128" s="253"/>
      <c r="BD128" s="477" t="s">
        <v>1073</v>
      </c>
      <c r="BY128" s="4"/>
      <c r="BZ128" s="89"/>
      <c r="CC128" s="4"/>
      <c r="CD128" s="108"/>
      <c r="CE128" s="108"/>
      <c r="CF128" s="108"/>
      <c r="CG128" s="21"/>
      <c r="CH128" s="148" t="s">
        <v>516</v>
      </c>
      <c r="CI128" s="148" t="s">
        <v>21</v>
      </c>
      <c r="CJ128" s="148">
        <v>120</v>
      </c>
      <c r="CK128" s="148" t="s">
        <v>83</v>
      </c>
      <c r="CL128" s="148" t="s">
        <v>83</v>
      </c>
      <c r="CM128" s="148"/>
      <c r="CN128" s="148" t="s">
        <v>610</v>
      </c>
      <c r="CO128" s="215" t="s">
        <v>64</v>
      </c>
      <c r="CP128" s="150"/>
      <c r="CQ128" s="2"/>
      <c r="CR128" s="45"/>
      <c r="CS128" s="45"/>
      <c r="CT128" s="45"/>
      <c r="CU128" s="45"/>
      <c r="CV128" s="10"/>
      <c r="CW128" s="32"/>
      <c r="CX128" s="32"/>
      <c r="CY128" s="31"/>
      <c r="CZ128" s="33"/>
      <c r="DA128" s="31"/>
      <c r="DC128" s="32"/>
      <c r="DD128" s="32"/>
      <c r="DE128" s="87"/>
      <c r="DF128" s="64"/>
      <c r="DO128" s="10"/>
      <c r="DP128" s="10"/>
      <c r="DV128" s="21"/>
      <c r="DX128" s="85"/>
      <c r="DY128" s="85"/>
    </row>
    <row r="129" spans="1:129" ht="19.5" customHeight="1">
      <c r="A129" s="354"/>
      <c r="B129" s="181"/>
      <c r="C129" s="1868"/>
      <c r="D129" s="1869"/>
      <c r="E129" s="1869"/>
      <c r="F129" s="1869"/>
      <c r="G129" s="1869"/>
      <c r="H129" s="1869"/>
      <c r="I129" s="1870"/>
      <c r="J129" s="1842" t="str">
        <f>記入シート2!J129</f>
        <v>電子マネーセットアップ費用</v>
      </c>
      <c r="K129" s="1843"/>
      <c r="L129" s="1843"/>
      <c r="M129" s="1843"/>
      <c r="N129" s="1843"/>
      <c r="O129" s="1843"/>
      <c r="P129" s="1843"/>
      <c r="Q129" s="1843"/>
      <c r="R129" s="1843"/>
      <c r="S129" s="1843"/>
      <c r="T129" s="1843"/>
      <c r="U129" s="1844"/>
      <c r="V129" s="1846">
        <f>記入シート2!V129</f>
        <v>12000</v>
      </c>
      <c r="W129" s="1847"/>
      <c r="X129" s="1847"/>
      <c r="Y129" s="1847"/>
      <c r="Z129" s="833" t="str">
        <f>記入シート2!Z129</f>
        <v>/台</v>
      </c>
      <c r="AA129" s="1845">
        <v>1</v>
      </c>
      <c r="AB129" s="1652"/>
      <c r="AC129" s="1652"/>
      <c r="AD129" s="828" t="str">
        <f>記入シート2!AD129</f>
        <v>台</v>
      </c>
      <c r="AE129" s="1836">
        <f t="shared" si="16"/>
        <v>12000</v>
      </c>
      <c r="AF129" s="1837"/>
      <c r="AG129" s="1837"/>
      <c r="AH129" s="1837"/>
      <c r="AI129" s="1837"/>
      <c r="AJ129" s="1838"/>
      <c r="AK129" s="1839"/>
      <c r="AL129" s="1840"/>
      <c r="AM129" s="1840"/>
      <c r="AN129" s="1840"/>
      <c r="AO129" s="1840"/>
      <c r="AP129" s="1840"/>
      <c r="AQ129" s="1840"/>
      <c r="AR129" s="1840"/>
      <c r="AS129" s="1840"/>
      <c r="AT129" s="1841"/>
      <c r="AU129" s="171"/>
      <c r="AX129" s="253"/>
      <c r="BD129" s="477" t="s">
        <v>1073</v>
      </c>
      <c r="BY129" s="4"/>
      <c r="BZ129" s="89"/>
      <c r="CC129" s="4"/>
      <c r="CD129" s="108"/>
      <c r="CE129" s="108"/>
      <c r="CF129" s="108"/>
      <c r="CG129" s="21"/>
      <c r="CH129" s="148" t="s">
        <v>517</v>
      </c>
      <c r="CI129" s="148" t="s">
        <v>63</v>
      </c>
      <c r="CJ129" s="148">
        <v>1</v>
      </c>
      <c r="CK129" s="148" t="s">
        <v>83</v>
      </c>
      <c r="CL129" s="148" t="s">
        <v>83</v>
      </c>
      <c r="CM129" s="148" t="s">
        <v>518</v>
      </c>
      <c r="CN129" s="148" t="s">
        <v>610</v>
      </c>
      <c r="CO129" s="149" t="s">
        <v>62</v>
      </c>
      <c r="CP129" s="150"/>
      <c r="CQ129" s="2"/>
      <c r="CR129" s="45"/>
      <c r="CS129" s="45"/>
      <c r="CT129" s="45"/>
      <c r="CU129" s="45"/>
      <c r="CV129" s="10"/>
      <c r="CW129" s="32"/>
      <c r="CX129" s="32"/>
      <c r="CY129" s="31"/>
      <c r="CZ129" s="33"/>
      <c r="DA129" s="31"/>
      <c r="DC129" s="32"/>
      <c r="DD129" s="32"/>
      <c r="DE129" s="87"/>
      <c r="DF129" s="64"/>
      <c r="DO129" s="10"/>
      <c r="DP129" s="10"/>
      <c r="DV129" s="21"/>
      <c r="DX129" s="85"/>
      <c r="DY129" s="85"/>
    </row>
    <row r="130" spans="1:129" ht="19.5" customHeight="1">
      <c r="A130" s="354"/>
      <c r="B130" s="181"/>
      <c r="C130" s="1868"/>
      <c r="D130" s="1869"/>
      <c r="E130" s="1869"/>
      <c r="F130" s="1869"/>
      <c r="G130" s="1869"/>
      <c r="H130" s="1869"/>
      <c r="I130" s="1870"/>
      <c r="J130" s="1842" t="str">
        <f>記入シート2!J130</f>
        <v>POS連動ケーブル費用</v>
      </c>
      <c r="K130" s="1843"/>
      <c r="L130" s="1843"/>
      <c r="M130" s="1843"/>
      <c r="N130" s="1843"/>
      <c r="O130" s="1843"/>
      <c r="P130" s="1843"/>
      <c r="Q130" s="1843"/>
      <c r="R130" s="1843"/>
      <c r="S130" s="1843"/>
      <c r="T130" s="1843"/>
      <c r="U130" s="1844"/>
      <c r="V130" s="1846">
        <f>記入シート2!V130</f>
        <v>3000</v>
      </c>
      <c r="W130" s="1847"/>
      <c r="X130" s="1847"/>
      <c r="Y130" s="1847"/>
      <c r="Z130" s="833" t="str">
        <f>記入シート2!Z130</f>
        <v>/本</v>
      </c>
      <c r="AA130" s="1845">
        <v>1</v>
      </c>
      <c r="AB130" s="1652"/>
      <c r="AC130" s="1652"/>
      <c r="AD130" s="828" t="str">
        <f>記入シート2!AD130</f>
        <v>本</v>
      </c>
      <c r="AE130" s="1679">
        <f>IF(V130="","",V130*AA130)</f>
        <v>3000</v>
      </c>
      <c r="AF130" s="1679"/>
      <c r="AG130" s="1679"/>
      <c r="AH130" s="1679"/>
      <c r="AI130" s="1679"/>
      <c r="AJ130" s="1680"/>
      <c r="AK130" s="1789"/>
      <c r="AL130" s="1790"/>
      <c r="AM130" s="1790"/>
      <c r="AN130" s="1790"/>
      <c r="AO130" s="1790"/>
      <c r="AP130" s="1790"/>
      <c r="AQ130" s="1790"/>
      <c r="AR130" s="1790"/>
      <c r="AS130" s="1790"/>
      <c r="AT130" s="1689"/>
      <c r="AU130" s="171"/>
      <c r="AX130" s="253"/>
      <c r="BD130" s="477" t="s">
        <v>1073</v>
      </c>
      <c r="BY130" s="11"/>
      <c r="BZ130" s="89"/>
      <c r="CC130" s="4"/>
      <c r="CD130" s="108"/>
      <c r="CE130" s="108"/>
      <c r="CF130" s="108"/>
      <c r="CG130" s="21"/>
      <c r="CH130" s="148" t="s">
        <v>519</v>
      </c>
      <c r="CI130" s="148" t="s">
        <v>21</v>
      </c>
      <c r="CJ130" s="148">
        <v>255</v>
      </c>
      <c r="CK130" s="148" t="s">
        <v>83</v>
      </c>
      <c r="CL130" s="148" t="s">
        <v>83</v>
      </c>
      <c r="CM130" s="148"/>
      <c r="CN130" s="148" t="s">
        <v>613</v>
      </c>
      <c r="CO130" s="149" t="s">
        <v>61</v>
      </c>
      <c r="CP130" s="150"/>
      <c r="CQ130" s="2"/>
      <c r="CR130" s="45"/>
      <c r="CS130" s="45"/>
      <c r="CT130" s="45"/>
      <c r="CU130" s="45"/>
      <c r="CV130" s="10"/>
      <c r="CW130" s="32"/>
      <c r="CX130" s="32"/>
      <c r="CY130" s="31"/>
      <c r="CZ130" s="33"/>
      <c r="DA130" s="31"/>
      <c r="DC130" s="32"/>
      <c r="DD130" s="32"/>
      <c r="DE130" s="87"/>
      <c r="DF130" s="64"/>
      <c r="DO130" s="10"/>
      <c r="DP130" s="10"/>
      <c r="DV130" s="21"/>
      <c r="DX130" s="85"/>
      <c r="DY130" s="85"/>
    </row>
    <row r="131" spans="1:129" ht="19.5" hidden="1" customHeight="1">
      <c r="A131" s="354" t="s">
        <v>1234</v>
      </c>
      <c r="B131" s="181"/>
      <c r="C131" s="1868"/>
      <c r="D131" s="1869"/>
      <c r="E131" s="1869"/>
      <c r="F131" s="1869"/>
      <c r="G131" s="1869"/>
      <c r="H131" s="1869"/>
      <c r="I131" s="1870"/>
      <c r="J131" s="1842" t="str">
        <f>記入シート2!J131</f>
        <v>レシートロール費用（10巻/箱）</v>
      </c>
      <c r="K131" s="1843"/>
      <c r="L131" s="1843"/>
      <c r="M131" s="1843"/>
      <c r="N131" s="1843"/>
      <c r="O131" s="1843"/>
      <c r="P131" s="1843"/>
      <c r="Q131" s="1843"/>
      <c r="R131" s="1843"/>
      <c r="S131" s="1843"/>
      <c r="T131" s="1843"/>
      <c r="U131" s="1844"/>
      <c r="V131" s="1846">
        <f>記入シート2!V131</f>
        <v>2300</v>
      </c>
      <c r="W131" s="1847"/>
      <c r="X131" s="1847"/>
      <c r="Y131" s="1847"/>
      <c r="Z131" s="976" t="str">
        <f>記入シート2!Z131</f>
        <v>/箱</v>
      </c>
      <c r="AA131" s="1651">
        <v>0</v>
      </c>
      <c r="AB131" s="1652"/>
      <c r="AC131" s="1652"/>
      <c r="AD131" s="229" t="str">
        <f>記入シート2!AD131</f>
        <v>箱</v>
      </c>
      <c r="AE131" s="1679">
        <f>IF(V131="","",V131*AA131)</f>
        <v>0</v>
      </c>
      <c r="AF131" s="1679"/>
      <c r="AG131" s="1679"/>
      <c r="AH131" s="1679"/>
      <c r="AI131" s="1679"/>
      <c r="AJ131" s="1680"/>
      <c r="AK131" s="1789"/>
      <c r="AL131" s="1790"/>
      <c r="AM131" s="1790"/>
      <c r="AN131" s="1790"/>
      <c r="AO131" s="1790"/>
      <c r="AP131" s="1790"/>
      <c r="AQ131" s="1790"/>
      <c r="AR131" s="1790"/>
      <c r="AS131" s="1790"/>
      <c r="AT131" s="1689"/>
      <c r="AU131" s="171"/>
      <c r="AX131" s="253"/>
      <c r="BD131" s="477" t="s">
        <v>1073</v>
      </c>
      <c r="BY131" s="11"/>
      <c r="BZ131" s="89"/>
      <c r="CC131" s="4"/>
      <c r="CD131" s="108"/>
      <c r="CE131" s="108"/>
      <c r="CF131" s="108"/>
      <c r="CG131" s="21"/>
      <c r="CH131" s="148" t="s">
        <v>520</v>
      </c>
      <c r="CI131" s="148" t="s">
        <v>21</v>
      </c>
      <c r="CJ131" s="148">
        <v>120</v>
      </c>
      <c r="CK131" s="148" t="s">
        <v>83</v>
      </c>
      <c r="CL131" s="148" t="s">
        <v>83</v>
      </c>
      <c r="CM131" s="148"/>
      <c r="CN131" s="148" t="s">
        <v>610</v>
      </c>
      <c r="CO131" s="215" t="s">
        <v>60</v>
      </c>
      <c r="CP131" s="150"/>
      <c r="CQ131" s="2"/>
      <c r="CR131" s="45"/>
      <c r="CS131" s="45"/>
      <c r="CT131" s="45"/>
      <c r="CU131" s="45"/>
      <c r="CV131" s="10"/>
      <c r="CW131" s="32"/>
      <c r="CX131" s="32"/>
      <c r="CY131" s="31"/>
      <c r="CZ131" s="33"/>
      <c r="DA131" s="31"/>
      <c r="DC131" s="32"/>
      <c r="DD131" s="32"/>
      <c r="DE131" s="87"/>
      <c r="DF131" s="64"/>
      <c r="DO131" s="10"/>
      <c r="DP131" s="10"/>
      <c r="DV131" s="21"/>
      <c r="DX131" s="85"/>
      <c r="DY131" s="85"/>
    </row>
    <row r="132" spans="1:129" ht="19.5" hidden="1" customHeight="1">
      <c r="A132" s="354" t="s">
        <v>1234</v>
      </c>
      <c r="B132" s="181"/>
      <c r="C132" s="1868"/>
      <c r="D132" s="1869"/>
      <c r="E132" s="1869"/>
      <c r="F132" s="1869"/>
      <c r="G132" s="1869"/>
      <c r="H132" s="1869"/>
      <c r="I132" s="1870"/>
      <c r="J132" s="1824" t="s">
        <v>3575</v>
      </c>
      <c r="K132" s="1825"/>
      <c r="L132" s="1825"/>
      <c r="M132" s="1825"/>
      <c r="N132" s="1825"/>
      <c r="O132" s="1825"/>
      <c r="P132" s="1825"/>
      <c r="Q132" s="1825"/>
      <c r="R132" s="1825"/>
      <c r="S132" s="1825"/>
      <c r="T132" s="1825"/>
      <c r="U132" s="1826"/>
      <c r="V132" s="1791">
        <v>0</v>
      </c>
      <c r="W132" s="1792"/>
      <c r="X132" s="1792"/>
      <c r="Y132" s="1792"/>
      <c r="Z132" s="1792"/>
      <c r="AA132" s="1832">
        <v>0</v>
      </c>
      <c r="AB132" s="1871"/>
      <c r="AC132" s="1871"/>
      <c r="AD132" s="394" t="s">
        <v>848</v>
      </c>
      <c r="AE132" s="1679">
        <f t="shared" ref="AE132:AE144" si="17">V132*AA132</f>
        <v>0</v>
      </c>
      <c r="AF132" s="1679"/>
      <c r="AG132" s="1679"/>
      <c r="AH132" s="1679"/>
      <c r="AI132" s="1679"/>
      <c r="AJ132" s="1680"/>
      <c r="AK132" s="1687"/>
      <c r="AL132" s="1688"/>
      <c r="AM132" s="1688"/>
      <c r="AN132" s="1688"/>
      <c r="AO132" s="1688"/>
      <c r="AP132" s="1688"/>
      <c r="AQ132" s="1688"/>
      <c r="AR132" s="1688"/>
      <c r="AS132" s="1688"/>
      <c r="AT132" s="1689"/>
      <c r="AU132" s="171"/>
      <c r="AX132" s="253"/>
      <c r="BY132" s="11"/>
      <c r="BZ132" s="89"/>
      <c r="CC132" s="4"/>
      <c r="CD132" s="108"/>
      <c r="CE132" s="108"/>
      <c r="CF132" s="108"/>
      <c r="CG132" s="21"/>
      <c r="CH132" s="148" t="s">
        <v>521</v>
      </c>
      <c r="CI132" s="148" t="s">
        <v>21</v>
      </c>
      <c r="CJ132" s="148">
        <v>120</v>
      </c>
      <c r="CK132" s="148" t="s">
        <v>83</v>
      </c>
      <c r="CL132" s="148" t="s">
        <v>83</v>
      </c>
      <c r="CM132" s="148"/>
      <c r="CN132" s="148" t="s">
        <v>610</v>
      </c>
      <c r="CO132" s="215" t="s">
        <v>59</v>
      </c>
      <c r="CP132" s="150"/>
      <c r="CQ132" s="2"/>
      <c r="CR132" s="45"/>
      <c r="CS132" s="45"/>
      <c r="CT132" s="45"/>
      <c r="CU132" s="45"/>
      <c r="CV132" s="10"/>
      <c r="CW132" s="32"/>
      <c r="CX132" s="32"/>
      <c r="CY132" s="31"/>
      <c r="CZ132" s="33"/>
      <c r="DA132" s="31"/>
      <c r="DC132" s="32"/>
      <c r="DD132" s="32"/>
      <c r="DE132" s="87"/>
      <c r="DF132" s="64"/>
      <c r="DO132" s="10"/>
      <c r="DP132" s="10"/>
      <c r="DV132" s="21"/>
      <c r="DX132" s="85"/>
      <c r="DY132" s="85"/>
    </row>
    <row r="133" spans="1:129" ht="19.5" hidden="1" customHeight="1">
      <c r="A133" s="354" t="s">
        <v>1234</v>
      </c>
      <c r="B133" s="181"/>
      <c r="C133" s="1868"/>
      <c r="D133" s="1869"/>
      <c r="E133" s="1869"/>
      <c r="F133" s="1869"/>
      <c r="G133" s="1869"/>
      <c r="H133" s="1869"/>
      <c r="I133" s="1870"/>
      <c r="J133" s="1824" t="s">
        <v>1405</v>
      </c>
      <c r="K133" s="1825"/>
      <c r="L133" s="1825"/>
      <c r="M133" s="1825"/>
      <c r="N133" s="1825"/>
      <c r="O133" s="1825"/>
      <c r="P133" s="1825"/>
      <c r="Q133" s="1825"/>
      <c r="R133" s="1825"/>
      <c r="S133" s="1825"/>
      <c r="T133" s="1825"/>
      <c r="U133" s="1826"/>
      <c r="V133" s="1827">
        <v>0</v>
      </c>
      <c r="W133" s="1828"/>
      <c r="X133" s="1828"/>
      <c r="Y133" s="1828"/>
      <c r="Z133" s="1828"/>
      <c r="AA133" s="1651">
        <v>0</v>
      </c>
      <c r="AB133" s="1829"/>
      <c r="AC133" s="1829"/>
      <c r="AD133" s="229" t="s">
        <v>849</v>
      </c>
      <c r="AE133" s="1679">
        <f t="shared" si="17"/>
        <v>0</v>
      </c>
      <c r="AF133" s="1679"/>
      <c r="AG133" s="1679"/>
      <c r="AH133" s="1679"/>
      <c r="AI133" s="1679"/>
      <c r="AJ133" s="1680"/>
      <c r="AK133" s="1687"/>
      <c r="AL133" s="1688"/>
      <c r="AM133" s="1688"/>
      <c r="AN133" s="1688"/>
      <c r="AO133" s="1688"/>
      <c r="AP133" s="1688"/>
      <c r="AQ133" s="1688"/>
      <c r="AR133" s="1688"/>
      <c r="AS133" s="1688"/>
      <c r="AT133" s="1689"/>
      <c r="AU133" s="171"/>
      <c r="AX133" s="253"/>
      <c r="BY133" s="11"/>
      <c r="BZ133" s="89"/>
      <c r="CC133" s="4"/>
      <c r="CD133" s="108"/>
      <c r="CE133" s="108"/>
      <c r="CF133" s="108"/>
      <c r="CG133" s="21"/>
      <c r="CH133" s="148" t="s">
        <v>522</v>
      </c>
      <c r="CI133" s="148" t="s">
        <v>21</v>
      </c>
      <c r="CJ133" s="148">
        <v>120</v>
      </c>
      <c r="CK133" s="148" t="s">
        <v>83</v>
      </c>
      <c r="CL133" s="148" t="s">
        <v>83</v>
      </c>
      <c r="CM133" s="148"/>
      <c r="CN133" s="148" t="s">
        <v>610</v>
      </c>
      <c r="CO133" s="149" t="s">
        <v>58</v>
      </c>
      <c r="CP133" s="150"/>
      <c r="CQ133" s="2"/>
      <c r="CR133" s="45"/>
      <c r="CS133" s="45"/>
      <c r="CT133" s="45"/>
      <c r="CU133" s="45"/>
      <c r="CV133" s="10"/>
      <c r="CW133" s="32"/>
      <c r="CX133" s="32"/>
      <c r="CY133" s="31"/>
      <c r="CZ133" s="33"/>
      <c r="DA133" s="31"/>
      <c r="DC133" s="32"/>
      <c r="DD133" s="32"/>
      <c r="DE133" s="87"/>
      <c r="DF133" s="64"/>
      <c r="DO133" s="10"/>
      <c r="DP133" s="10"/>
      <c r="DV133" s="21"/>
      <c r="DX133" s="85"/>
      <c r="DY133" s="85"/>
    </row>
    <row r="134" spans="1:129" ht="19.5" hidden="1" customHeight="1">
      <c r="A134" s="354" t="s">
        <v>1234</v>
      </c>
      <c r="B134" s="181"/>
      <c r="C134" s="1868"/>
      <c r="D134" s="1869"/>
      <c r="E134" s="1869"/>
      <c r="F134" s="1869"/>
      <c r="G134" s="1869"/>
      <c r="H134" s="1869"/>
      <c r="I134" s="1870"/>
      <c r="J134" s="1830" t="s">
        <v>3578</v>
      </c>
      <c r="K134" s="1830"/>
      <c r="L134" s="1830"/>
      <c r="M134" s="1830"/>
      <c r="N134" s="1830"/>
      <c r="O134" s="1830"/>
      <c r="P134" s="1830"/>
      <c r="Q134" s="1830"/>
      <c r="R134" s="1830"/>
      <c r="S134" s="1830"/>
      <c r="T134" s="1830"/>
      <c r="U134" s="1831"/>
      <c r="V134" s="1791">
        <v>0</v>
      </c>
      <c r="W134" s="1792"/>
      <c r="X134" s="1792"/>
      <c r="Y134" s="1792"/>
      <c r="Z134" s="1792"/>
      <c r="AA134" s="1832">
        <v>0</v>
      </c>
      <c r="AB134" s="1833"/>
      <c r="AC134" s="1833"/>
      <c r="AD134" s="228" t="s">
        <v>848</v>
      </c>
      <c r="AE134" s="1834">
        <f t="shared" si="17"/>
        <v>0</v>
      </c>
      <c r="AF134" s="1834"/>
      <c r="AG134" s="1834"/>
      <c r="AH134" s="1834"/>
      <c r="AI134" s="1834"/>
      <c r="AJ134" s="1835"/>
      <c r="AK134" s="1687"/>
      <c r="AL134" s="1688"/>
      <c r="AM134" s="1688"/>
      <c r="AN134" s="1688"/>
      <c r="AO134" s="1688"/>
      <c r="AP134" s="1688"/>
      <c r="AQ134" s="1688"/>
      <c r="AR134" s="1688"/>
      <c r="AS134" s="1688"/>
      <c r="AT134" s="1689"/>
      <c r="AU134" s="171"/>
      <c r="AX134" s="253"/>
      <c r="BZ134" s="89"/>
      <c r="CC134" s="4"/>
      <c r="CD134" s="108"/>
      <c r="CE134" s="108"/>
      <c r="CF134" s="108"/>
      <c r="CG134" s="21"/>
      <c r="CH134" s="148" t="s">
        <v>57</v>
      </c>
      <c r="CI134" s="148" t="s">
        <v>21</v>
      </c>
      <c r="CJ134" s="148">
        <v>120</v>
      </c>
      <c r="CK134" s="148" t="s">
        <v>83</v>
      </c>
      <c r="CL134" s="148" t="s">
        <v>83</v>
      </c>
      <c r="CM134" s="148"/>
      <c r="CN134" s="148" t="s">
        <v>610</v>
      </c>
      <c r="CO134" s="149" t="s">
        <v>56</v>
      </c>
      <c r="CP134" s="150"/>
      <c r="CQ134" s="2"/>
      <c r="CR134" s="45"/>
      <c r="CS134" s="45"/>
      <c r="CT134" s="45"/>
      <c r="CU134" s="45"/>
      <c r="CV134" s="10"/>
      <c r="CW134" s="32"/>
      <c r="CX134" s="32"/>
      <c r="CY134" s="31"/>
      <c r="CZ134" s="33"/>
      <c r="DA134" s="31"/>
      <c r="DC134" s="32"/>
      <c r="DD134" s="32"/>
      <c r="DE134" s="87"/>
      <c r="DF134" s="64"/>
      <c r="DO134" s="10"/>
      <c r="DP134" s="10"/>
      <c r="DV134" s="21"/>
      <c r="DX134" s="85"/>
      <c r="DY134" s="85"/>
    </row>
    <row r="135" spans="1:129" ht="19.5" hidden="1" customHeight="1">
      <c r="A135" s="354" t="s">
        <v>1234</v>
      </c>
      <c r="B135" s="181"/>
      <c r="C135" s="1868"/>
      <c r="D135" s="1869"/>
      <c r="E135" s="1869"/>
      <c r="F135" s="1869"/>
      <c r="G135" s="1869"/>
      <c r="H135" s="1869"/>
      <c r="I135" s="1870"/>
      <c r="J135" s="1655" t="s">
        <v>1406</v>
      </c>
      <c r="K135" s="1656"/>
      <c r="L135" s="1656"/>
      <c r="M135" s="1656"/>
      <c r="N135" s="1656"/>
      <c r="O135" s="1656"/>
      <c r="P135" s="1656"/>
      <c r="Q135" s="1656"/>
      <c r="R135" s="1656"/>
      <c r="S135" s="1656"/>
      <c r="T135" s="1656"/>
      <c r="U135" s="1657"/>
      <c r="V135" s="1872">
        <v>0</v>
      </c>
      <c r="W135" s="1873"/>
      <c r="X135" s="1873"/>
      <c r="Y135" s="1873"/>
      <c r="Z135" s="1873"/>
      <c r="AA135" s="1651">
        <v>0</v>
      </c>
      <c r="AB135" s="1652"/>
      <c r="AC135" s="1652"/>
      <c r="AD135" s="228" t="s">
        <v>1408</v>
      </c>
      <c r="AE135" s="1679">
        <f t="shared" si="17"/>
        <v>0</v>
      </c>
      <c r="AF135" s="1679"/>
      <c r="AG135" s="1679"/>
      <c r="AH135" s="1679"/>
      <c r="AI135" s="1679"/>
      <c r="AJ135" s="1680"/>
      <c r="AK135" s="1789"/>
      <c r="AL135" s="1790"/>
      <c r="AM135" s="1790"/>
      <c r="AN135" s="1790"/>
      <c r="AO135" s="1790"/>
      <c r="AP135" s="1790"/>
      <c r="AQ135" s="1790"/>
      <c r="AR135" s="1790"/>
      <c r="AS135" s="1790"/>
      <c r="AT135" s="1689"/>
      <c r="AU135" s="171"/>
      <c r="AX135" s="253"/>
      <c r="BD135" s="477" t="s">
        <v>1073</v>
      </c>
      <c r="BY135" s="11"/>
      <c r="BZ135" s="89"/>
      <c r="CC135" s="4"/>
      <c r="CD135" s="108"/>
      <c r="CE135" s="108"/>
      <c r="CF135" s="108"/>
      <c r="CG135" s="21"/>
      <c r="CH135" s="148" t="s">
        <v>524</v>
      </c>
      <c r="CI135" s="148" t="s">
        <v>19</v>
      </c>
      <c r="CJ135" s="148">
        <v>1</v>
      </c>
      <c r="CK135" s="148" t="s">
        <v>20</v>
      </c>
      <c r="CL135" s="148" t="s">
        <v>20</v>
      </c>
      <c r="CM135" s="148" t="s">
        <v>433</v>
      </c>
      <c r="CN135" s="148" t="s">
        <v>614</v>
      </c>
      <c r="CO135" s="149" t="s">
        <v>55</v>
      </c>
      <c r="CP135" s="150"/>
      <c r="CQ135" s="2"/>
      <c r="CR135" s="45"/>
      <c r="CS135" s="45"/>
      <c r="CT135" s="45"/>
      <c r="CU135" s="45"/>
      <c r="CV135" s="10"/>
      <c r="CW135" s="32"/>
      <c r="CX135" s="32"/>
      <c r="CY135" s="31"/>
      <c r="CZ135" s="33"/>
      <c r="DA135" s="31"/>
      <c r="DC135" s="32"/>
      <c r="DD135" s="32"/>
      <c r="DE135" s="87"/>
      <c r="DF135" s="64"/>
      <c r="DO135" s="10"/>
      <c r="DP135" s="10"/>
      <c r="DV135" s="21"/>
      <c r="DX135" s="85"/>
      <c r="DY135" s="85"/>
    </row>
    <row r="136" spans="1:129" ht="19.5" hidden="1" customHeight="1">
      <c r="A136" s="354" t="s">
        <v>1234</v>
      </c>
      <c r="B136" s="181"/>
      <c r="C136" s="1868"/>
      <c r="D136" s="1869"/>
      <c r="E136" s="1869"/>
      <c r="F136" s="1869"/>
      <c r="G136" s="1869"/>
      <c r="H136" s="1869"/>
      <c r="I136" s="1870"/>
      <c r="J136" s="1655" t="s">
        <v>1407</v>
      </c>
      <c r="K136" s="1656"/>
      <c r="L136" s="1656"/>
      <c r="M136" s="1656"/>
      <c r="N136" s="1656"/>
      <c r="O136" s="1656"/>
      <c r="P136" s="1656"/>
      <c r="Q136" s="1656"/>
      <c r="R136" s="1656"/>
      <c r="S136" s="1656"/>
      <c r="T136" s="1656"/>
      <c r="U136" s="1657"/>
      <c r="V136" s="1822">
        <v>0</v>
      </c>
      <c r="W136" s="1823"/>
      <c r="X136" s="1823"/>
      <c r="Y136" s="1823"/>
      <c r="Z136" s="1823"/>
      <c r="AA136" s="1651">
        <v>0</v>
      </c>
      <c r="AB136" s="1652"/>
      <c r="AC136" s="1652"/>
      <c r="AD136" s="228" t="s">
        <v>1409</v>
      </c>
      <c r="AE136" s="1679">
        <f t="shared" si="17"/>
        <v>0</v>
      </c>
      <c r="AF136" s="1679"/>
      <c r="AG136" s="1679"/>
      <c r="AH136" s="1679"/>
      <c r="AI136" s="1679"/>
      <c r="AJ136" s="1680"/>
      <c r="AK136" s="1789"/>
      <c r="AL136" s="1790"/>
      <c r="AM136" s="1790"/>
      <c r="AN136" s="1790"/>
      <c r="AO136" s="1790"/>
      <c r="AP136" s="1790"/>
      <c r="AQ136" s="1790"/>
      <c r="AR136" s="1790"/>
      <c r="AS136" s="1790"/>
      <c r="AT136" s="1689"/>
      <c r="AU136" s="171"/>
      <c r="AX136" s="253"/>
      <c r="BD136" s="477" t="s">
        <v>1073</v>
      </c>
      <c r="BZ136" s="89"/>
      <c r="CC136" s="4"/>
      <c r="CD136" s="108"/>
      <c r="CE136" s="108"/>
      <c r="CF136" s="108"/>
      <c r="CG136" s="21"/>
      <c r="CH136" s="148" t="s">
        <v>525</v>
      </c>
      <c r="CI136" s="148" t="s">
        <v>21</v>
      </c>
      <c r="CJ136" s="148">
        <v>255</v>
      </c>
      <c r="CK136" s="148" t="s">
        <v>20</v>
      </c>
      <c r="CL136" s="148" t="s">
        <v>20</v>
      </c>
      <c r="CM136" s="216"/>
      <c r="CN136" s="148" t="s">
        <v>615</v>
      </c>
      <c r="CO136" s="149" t="s">
        <v>53</v>
      </c>
      <c r="CP136" s="150"/>
      <c r="CQ136" s="2"/>
      <c r="CR136" s="45"/>
      <c r="CS136" s="45"/>
      <c r="CT136" s="45"/>
      <c r="CU136" s="45"/>
      <c r="CV136" s="10"/>
      <c r="CW136" s="32"/>
      <c r="CX136" s="32"/>
      <c r="CY136" s="31"/>
      <c r="CZ136" s="33"/>
      <c r="DA136" s="31"/>
      <c r="DC136" s="32"/>
      <c r="DD136" s="32"/>
      <c r="DE136" s="87"/>
      <c r="DF136" s="64"/>
      <c r="DO136" s="10"/>
      <c r="DP136" s="20"/>
      <c r="DQ136" s="253"/>
      <c r="DR136" s="253"/>
      <c r="DS136" s="253"/>
      <c r="DT136" s="253"/>
      <c r="DU136" s="253"/>
      <c r="DV136" s="21"/>
      <c r="DX136" s="85"/>
      <c r="DY136" s="85"/>
    </row>
    <row r="137" spans="1:129" ht="19.5" hidden="1" customHeight="1">
      <c r="A137" s="354" t="s">
        <v>1234</v>
      </c>
      <c r="B137" s="181"/>
      <c r="C137" s="1868"/>
      <c r="D137" s="1869"/>
      <c r="E137" s="1869"/>
      <c r="F137" s="1869"/>
      <c r="G137" s="1869"/>
      <c r="H137" s="1869"/>
      <c r="I137" s="1870"/>
      <c r="J137" s="1655" t="s">
        <v>1894</v>
      </c>
      <c r="K137" s="1656"/>
      <c r="L137" s="1656"/>
      <c r="M137" s="1656"/>
      <c r="N137" s="1656"/>
      <c r="O137" s="1656"/>
      <c r="P137" s="1656"/>
      <c r="Q137" s="1656"/>
      <c r="R137" s="1656"/>
      <c r="S137" s="1656"/>
      <c r="T137" s="1656"/>
      <c r="U137" s="1657"/>
      <c r="V137" s="1822">
        <v>0</v>
      </c>
      <c r="W137" s="1823"/>
      <c r="X137" s="1823"/>
      <c r="Y137" s="1823"/>
      <c r="Z137" s="1823"/>
      <c r="AA137" s="1651">
        <v>0</v>
      </c>
      <c r="AB137" s="1652"/>
      <c r="AC137" s="1652"/>
      <c r="AD137" s="228" t="s">
        <v>1409</v>
      </c>
      <c r="AE137" s="1679">
        <f t="shared" si="17"/>
        <v>0</v>
      </c>
      <c r="AF137" s="1679"/>
      <c r="AG137" s="1679"/>
      <c r="AH137" s="1679"/>
      <c r="AI137" s="1679"/>
      <c r="AJ137" s="1680"/>
      <c r="AK137" s="1789"/>
      <c r="AL137" s="1790"/>
      <c r="AM137" s="1790"/>
      <c r="AN137" s="1790"/>
      <c r="AO137" s="1790"/>
      <c r="AP137" s="1790"/>
      <c r="AQ137" s="1790"/>
      <c r="AR137" s="1790"/>
      <c r="AS137" s="1790"/>
      <c r="AT137" s="1689"/>
      <c r="AU137" s="171"/>
      <c r="AX137" s="253"/>
      <c r="BD137" s="477" t="s">
        <v>1073</v>
      </c>
      <c r="BZ137" s="89"/>
      <c r="CC137" s="4"/>
      <c r="CD137" s="108"/>
      <c r="CE137" s="108"/>
      <c r="CF137" s="108"/>
      <c r="CG137" s="21"/>
      <c r="CH137" s="148" t="s">
        <v>526</v>
      </c>
      <c r="CI137" s="148" t="s">
        <v>21</v>
      </c>
      <c r="CJ137" s="148">
        <v>255</v>
      </c>
      <c r="CK137" s="148" t="s">
        <v>20</v>
      </c>
      <c r="CL137" s="148" t="s">
        <v>20</v>
      </c>
      <c r="CM137" s="216"/>
      <c r="CN137" s="148" t="s">
        <v>615</v>
      </c>
      <c r="CO137" s="149" t="s">
        <v>52</v>
      </c>
      <c r="CP137" s="150"/>
      <c r="CQ137" s="2"/>
      <c r="CR137" s="45"/>
      <c r="CS137" s="45"/>
      <c r="CT137" s="45"/>
      <c r="CU137" s="45"/>
      <c r="CV137" s="10"/>
      <c r="CW137" s="32"/>
      <c r="CX137" s="32"/>
      <c r="CY137" s="31"/>
      <c r="CZ137" s="33"/>
      <c r="DA137" s="31"/>
      <c r="DC137" s="32"/>
      <c r="DD137" s="32"/>
      <c r="DE137" s="87"/>
      <c r="DF137" s="64"/>
      <c r="DO137" s="10"/>
      <c r="DP137" s="20"/>
      <c r="DQ137" s="253"/>
      <c r="DR137" s="253"/>
      <c r="DS137" s="253"/>
      <c r="DT137" s="253"/>
      <c r="DU137" s="253"/>
      <c r="DV137" s="21"/>
      <c r="DX137" s="85"/>
      <c r="DY137" s="85"/>
    </row>
    <row r="138" spans="1:129" ht="19.5" hidden="1" customHeight="1">
      <c r="A138" s="354" t="s">
        <v>1234</v>
      </c>
      <c r="B138" s="181"/>
      <c r="C138" s="1868"/>
      <c r="D138" s="1869"/>
      <c r="E138" s="1869"/>
      <c r="F138" s="1869"/>
      <c r="G138" s="1869"/>
      <c r="H138" s="1869"/>
      <c r="I138" s="1870"/>
      <c r="J138" s="1655" t="s">
        <v>3563</v>
      </c>
      <c r="K138" s="1656"/>
      <c r="L138" s="1656"/>
      <c r="M138" s="1656"/>
      <c r="N138" s="1656"/>
      <c r="O138" s="1656"/>
      <c r="P138" s="1656"/>
      <c r="Q138" s="1656"/>
      <c r="R138" s="1656"/>
      <c r="S138" s="1656"/>
      <c r="T138" s="1656"/>
      <c r="U138" s="1657"/>
      <c r="V138" s="1872">
        <v>0</v>
      </c>
      <c r="W138" s="1873"/>
      <c r="X138" s="1873"/>
      <c r="Y138" s="1873"/>
      <c r="Z138" s="1873"/>
      <c r="AA138" s="1651">
        <v>0</v>
      </c>
      <c r="AB138" s="1652"/>
      <c r="AC138" s="1652"/>
      <c r="AD138" s="228" t="s">
        <v>1408</v>
      </c>
      <c r="AE138" s="1679">
        <f t="shared" si="17"/>
        <v>0</v>
      </c>
      <c r="AF138" s="1679"/>
      <c r="AG138" s="1679"/>
      <c r="AH138" s="1679"/>
      <c r="AI138" s="1679"/>
      <c r="AJ138" s="1680"/>
      <c r="AK138" s="1789"/>
      <c r="AL138" s="1790"/>
      <c r="AM138" s="1790"/>
      <c r="AN138" s="1790"/>
      <c r="AO138" s="1790"/>
      <c r="AP138" s="1790"/>
      <c r="AQ138" s="1790"/>
      <c r="AR138" s="1790"/>
      <c r="AS138" s="1790"/>
      <c r="AT138" s="1689"/>
      <c r="AU138" s="171"/>
      <c r="AX138" s="253"/>
      <c r="BZ138" s="89"/>
      <c r="CC138" s="4"/>
      <c r="CD138" s="108"/>
      <c r="CE138" s="108"/>
      <c r="CF138" s="108"/>
      <c r="CG138" s="21"/>
      <c r="CH138" s="148" t="s">
        <v>527</v>
      </c>
      <c r="CI138" s="148" t="s">
        <v>19</v>
      </c>
      <c r="CJ138" s="148">
        <v>1</v>
      </c>
      <c r="CK138" s="148" t="s">
        <v>20</v>
      </c>
      <c r="CL138" s="148" t="s">
        <v>20</v>
      </c>
      <c r="CM138" s="148" t="s">
        <v>433</v>
      </c>
      <c r="CN138" s="148" t="s">
        <v>616</v>
      </c>
      <c r="CO138" s="149" t="s">
        <v>51</v>
      </c>
      <c r="CP138" s="150"/>
      <c r="CQ138" s="2"/>
      <c r="CR138" s="45"/>
      <c r="CS138" s="45"/>
      <c r="CT138" s="45"/>
      <c r="CU138" s="45"/>
      <c r="CV138" s="10"/>
      <c r="CW138" s="32"/>
      <c r="CX138" s="32"/>
      <c r="CY138" s="31"/>
      <c r="CZ138" s="33"/>
      <c r="DA138" s="31"/>
      <c r="DC138" s="32"/>
      <c r="DD138" s="32"/>
      <c r="DE138" s="87"/>
      <c r="DF138" s="64"/>
      <c r="DL138" s="79" t="s">
        <v>2024</v>
      </c>
      <c r="DO138" s="10"/>
      <c r="DP138" s="20"/>
      <c r="DQ138" s="253"/>
      <c r="DR138" s="253"/>
      <c r="DS138" s="253"/>
      <c r="DT138" s="253"/>
      <c r="DU138" s="253"/>
      <c r="DV138" s="21"/>
      <c r="DX138" s="85"/>
      <c r="DY138" s="85"/>
    </row>
    <row r="139" spans="1:129" ht="19.5" hidden="1" customHeight="1">
      <c r="A139" s="354" t="s">
        <v>1234</v>
      </c>
      <c r="B139" s="181"/>
      <c r="C139" s="1868"/>
      <c r="D139" s="1869"/>
      <c r="E139" s="1869"/>
      <c r="F139" s="1869"/>
      <c r="G139" s="1869"/>
      <c r="H139" s="1869"/>
      <c r="I139" s="1870"/>
      <c r="J139" s="1655" t="s">
        <v>3576</v>
      </c>
      <c r="K139" s="1656"/>
      <c r="L139" s="1656"/>
      <c r="M139" s="1656"/>
      <c r="N139" s="1656"/>
      <c r="O139" s="1656"/>
      <c r="P139" s="1656"/>
      <c r="Q139" s="1656"/>
      <c r="R139" s="1656"/>
      <c r="S139" s="1656"/>
      <c r="T139" s="1656"/>
      <c r="U139" s="1657"/>
      <c r="V139" s="1791">
        <v>0</v>
      </c>
      <c r="W139" s="1792"/>
      <c r="X139" s="1792"/>
      <c r="Y139" s="1792"/>
      <c r="Z139" s="1792"/>
      <c r="AA139" s="1651">
        <v>0</v>
      </c>
      <c r="AB139" s="1652"/>
      <c r="AC139" s="1652"/>
      <c r="AD139" s="228" t="s">
        <v>3577</v>
      </c>
      <c r="AE139" s="1679">
        <f t="shared" si="17"/>
        <v>0</v>
      </c>
      <c r="AF139" s="1679"/>
      <c r="AG139" s="1679"/>
      <c r="AH139" s="1679"/>
      <c r="AI139" s="1679"/>
      <c r="AJ139" s="1680"/>
      <c r="AK139" s="1789"/>
      <c r="AL139" s="1790"/>
      <c r="AM139" s="1790"/>
      <c r="AN139" s="1790"/>
      <c r="AO139" s="1790"/>
      <c r="AP139" s="1790"/>
      <c r="AQ139" s="1790"/>
      <c r="AR139" s="1790"/>
      <c r="AS139" s="1790"/>
      <c r="AT139" s="1689"/>
      <c r="AU139" s="171"/>
      <c r="AX139" s="253"/>
      <c r="BD139" s="477" t="s">
        <v>1073</v>
      </c>
      <c r="BZ139" s="89"/>
      <c r="CC139" s="4"/>
      <c r="CD139" s="108"/>
      <c r="CE139" s="108"/>
      <c r="CF139" s="108"/>
      <c r="CG139" s="21"/>
      <c r="CH139" s="148" t="s">
        <v>528</v>
      </c>
      <c r="CI139" s="148" t="s">
        <v>21</v>
      </c>
      <c r="CJ139" s="148">
        <v>255</v>
      </c>
      <c r="CK139" s="148" t="s">
        <v>20</v>
      </c>
      <c r="CL139" s="148" t="s">
        <v>20</v>
      </c>
      <c r="CM139" s="216"/>
      <c r="CN139" s="148" t="s">
        <v>617</v>
      </c>
      <c r="CO139" s="149" t="s">
        <v>50</v>
      </c>
      <c r="CP139" s="150"/>
      <c r="CQ139" s="2"/>
      <c r="CR139" s="45"/>
      <c r="CS139" s="45"/>
      <c r="CT139" s="45"/>
      <c r="CU139" s="45"/>
      <c r="CV139" s="10"/>
      <c r="CW139" s="32"/>
      <c r="CX139" s="32"/>
      <c r="CY139" s="31"/>
      <c r="CZ139" s="33"/>
      <c r="DA139" s="31"/>
      <c r="DC139" s="32"/>
      <c r="DD139" s="32"/>
      <c r="DE139" s="87"/>
      <c r="DF139" s="64"/>
      <c r="DO139" s="20"/>
      <c r="DV139" s="21"/>
      <c r="DX139" s="85"/>
      <c r="DY139" s="85"/>
    </row>
    <row r="140" spans="1:129" ht="19.5" hidden="1" customHeight="1">
      <c r="A140" s="354" t="s">
        <v>1234</v>
      </c>
      <c r="B140" s="181"/>
      <c r="C140" s="1868"/>
      <c r="D140" s="1869"/>
      <c r="E140" s="1869"/>
      <c r="F140" s="1869"/>
      <c r="G140" s="1869"/>
      <c r="H140" s="1869"/>
      <c r="I140" s="1870"/>
      <c r="J140" s="1655"/>
      <c r="K140" s="1656"/>
      <c r="L140" s="1656"/>
      <c r="M140" s="1656"/>
      <c r="N140" s="1656"/>
      <c r="O140" s="1656"/>
      <c r="P140" s="1656"/>
      <c r="Q140" s="1656"/>
      <c r="R140" s="1656"/>
      <c r="S140" s="1656"/>
      <c r="T140" s="1656"/>
      <c r="U140" s="1657"/>
      <c r="V140" s="1791">
        <v>0</v>
      </c>
      <c r="W140" s="1792"/>
      <c r="X140" s="1792"/>
      <c r="Y140" s="1792"/>
      <c r="Z140" s="1792"/>
      <c r="AA140" s="1651">
        <v>0</v>
      </c>
      <c r="AB140" s="1652"/>
      <c r="AC140" s="1652"/>
      <c r="AD140" s="228"/>
      <c r="AE140" s="1679">
        <f t="shared" si="17"/>
        <v>0</v>
      </c>
      <c r="AF140" s="1679"/>
      <c r="AG140" s="1679"/>
      <c r="AH140" s="1679"/>
      <c r="AI140" s="1679"/>
      <c r="AJ140" s="1680"/>
      <c r="AK140" s="1789"/>
      <c r="AL140" s="1790"/>
      <c r="AM140" s="1790"/>
      <c r="AN140" s="1790"/>
      <c r="AO140" s="1790"/>
      <c r="AP140" s="1790"/>
      <c r="AQ140" s="1790"/>
      <c r="AR140" s="1790"/>
      <c r="AS140" s="1790"/>
      <c r="AT140" s="1689"/>
      <c r="AU140" s="171"/>
      <c r="AX140" s="253"/>
      <c r="BD140" s="477" t="s">
        <v>1073</v>
      </c>
      <c r="BZ140" s="89"/>
      <c r="CA140" s="89"/>
      <c r="CC140" s="4"/>
      <c r="CD140" s="108"/>
      <c r="CE140" s="108"/>
      <c r="CF140" s="108"/>
      <c r="CG140" s="21"/>
      <c r="CH140" s="148" t="s">
        <v>529</v>
      </c>
      <c r="CI140" s="148" t="s">
        <v>21</v>
      </c>
      <c r="CJ140" s="148">
        <v>255</v>
      </c>
      <c r="CK140" s="148" t="s">
        <v>20</v>
      </c>
      <c r="CL140" s="148" t="s">
        <v>20</v>
      </c>
      <c r="CM140" s="216"/>
      <c r="CN140" s="148" t="s">
        <v>617</v>
      </c>
      <c r="CO140" s="149" t="s">
        <v>49</v>
      </c>
      <c r="CP140" s="150"/>
      <c r="CQ140" s="2"/>
      <c r="CR140" s="45"/>
      <c r="CS140" s="45"/>
      <c r="CT140" s="45"/>
      <c r="CU140" s="45"/>
      <c r="CV140" s="10"/>
      <c r="CX140" s="32"/>
      <c r="CY140" s="31"/>
      <c r="CZ140" s="33"/>
      <c r="DA140" s="31"/>
      <c r="DC140" s="32"/>
      <c r="DD140" s="32"/>
      <c r="DE140" s="87"/>
      <c r="DF140" s="64"/>
      <c r="DO140" s="20"/>
      <c r="DV140" s="21"/>
      <c r="DX140" s="85"/>
      <c r="DY140" s="85"/>
    </row>
    <row r="141" spans="1:129" ht="19.5" hidden="1" customHeight="1">
      <c r="A141" s="354" t="s">
        <v>1234</v>
      </c>
      <c r="B141" s="181"/>
      <c r="C141" s="1868"/>
      <c r="D141" s="1869"/>
      <c r="E141" s="1869"/>
      <c r="F141" s="1869"/>
      <c r="G141" s="1869"/>
      <c r="H141" s="1869"/>
      <c r="I141" s="1870"/>
      <c r="J141" s="1655"/>
      <c r="K141" s="1656"/>
      <c r="L141" s="1656"/>
      <c r="M141" s="1656"/>
      <c r="N141" s="1656"/>
      <c r="O141" s="1656"/>
      <c r="P141" s="1656"/>
      <c r="Q141" s="1656"/>
      <c r="R141" s="1656"/>
      <c r="S141" s="1656"/>
      <c r="T141" s="1656"/>
      <c r="U141" s="1657"/>
      <c r="V141" s="1791">
        <v>0</v>
      </c>
      <c r="W141" s="1792"/>
      <c r="X141" s="1792"/>
      <c r="Y141" s="1792"/>
      <c r="Z141" s="1792"/>
      <c r="AA141" s="1651">
        <v>0</v>
      </c>
      <c r="AB141" s="1652"/>
      <c r="AC141" s="1652"/>
      <c r="AD141" s="228"/>
      <c r="AE141" s="1679">
        <f t="shared" si="17"/>
        <v>0</v>
      </c>
      <c r="AF141" s="1679"/>
      <c r="AG141" s="1679"/>
      <c r="AH141" s="1679"/>
      <c r="AI141" s="1679"/>
      <c r="AJ141" s="1680"/>
      <c r="AK141" s="1789"/>
      <c r="AL141" s="1790"/>
      <c r="AM141" s="1790"/>
      <c r="AN141" s="1790"/>
      <c r="AO141" s="1790"/>
      <c r="AP141" s="1790"/>
      <c r="AQ141" s="1790"/>
      <c r="AR141" s="1790"/>
      <c r="AS141" s="1790"/>
      <c r="AT141" s="1689"/>
      <c r="AU141" s="171"/>
      <c r="AX141" s="253"/>
      <c r="BD141" s="477" t="s">
        <v>1073</v>
      </c>
      <c r="BZ141" s="4"/>
      <c r="CA141" s="89"/>
      <c r="CB141" s="152"/>
      <c r="CC141" s="4"/>
      <c r="CD141" s="108"/>
      <c r="CE141" s="108"/>
      <c r="CF141" s="108"/>
      <c r="CG141" s="21"/>
      <c r="CH141" s="148" t="s">
        <v>530</v>
      </c>
      <c r="CI141" s="148" t="s">
        <v>21</v>
      </c>
      <c r="CJ141" s="148">
        <v>100</v>
      </c>
      <c r="CK141" s="148" t="s">
        <v>20</v>
      </c>
      <c r="CL141" s="148" t="s">
        <v>20</v>
      </c>
      <c r="CM141" s="216"/>
      <c r="CN141" s="148" t="s">
        <v>617</v>
      </c>
      <c r="CO141" s="149" t="s">
        <v>48</v>
      </c>
      <c r="CP141" s="150"/>
      <c r="CQ141" s="2"/>
      <c r="CR141" s="45"/>
      <c r="CS141" s="45"/>
      <c r="CT141" s="45"/>
      <c r="CU141" s="45"/>
      <c r="CV141" s="10"/>
      <c r="CX141" s="32"/>
      <c r="CY141" s="31"/>
      <c r="CZ141" s="33"/>
      <c r="DA141" s="31"/>
      <c r="DC141" s="32"/>
      <c r="DD141" s="32"/>
      <c r="DE141" s="87"/>
      <c r="DF141" s="64"/>
      <c r="DO141" s="20"/>
      <c r="DV141" s="21"/>
      <c r="DX141" s="85"/>
      <c r="DY141" s="85"/>
    </row>
    <row r="142" spans="1:129" ht="19.5" hidden="1" customHeight="1">
      <c r="A142" s="354" t="s">
        <v>1234</v>
      </c>
      <c r="B142" s="181"/>
      <c r="C142" s="1868"/>
      <c r="D142" s="1869"/>
      <c r="E142" s="1869"/>
      <c r="F142" s="1869"/>
      <c r="G142" s="1869"/>
      <c r="H142" s="1869"/>
      <c r="I142" s="1870"/>
      <c r="J142" s="1655"/>
      <c r="K142" s="1656"/>
      <c r="L142" s="1656"/>
      <c r="M142" s="1656"/>
      <c r="N142" s="1656"/>
      <c r="O142" s="1656"/>
      <c r="P142" s="1656"/>
      <c r="Q142" s="1656"/>
      <c r="R142" s="1656"/>
      <c r="S142" s="1656"/>
      <c r="T142" s="1656"/>
      <c r="U142" s="1657"/>
      <c r="V142" s="1791">
        <v>0</v>
      </c>
      <c r="W142" s="1792"/>
      <c r="X142" s="1792"/>
      <c r="Y142" s="1792"/>
      <c r="Z142" s="1792"/>
      <c r="AA142" s="1651">
        <v>0</v>
      </c>
      <c r="AB142" s="1652"/>
      <c r="AC142" s="1652"/>
      <c r="AD142" s="228"/>
      <c r="AE142" s="1679">
        <f t="shared" si="17"/>
        <v>0</v>
      </c>
      <c r="AF142" s="1679"/>
      <c r="AG142" s="1679"/>
      <c r="AH142" s="1679"/>
      <c r="AI142" s="1679"/>
      <c r="AJ142" s="1680"/>
      <c r="AK142" s="1789"/>
      <c r="AL142" s="1790"/>
      <c r="AM142" s="1790"/>
      <c r="AN142" s="1790"/>
      <c r="AO142" s="1790"/>
      <c r="AP142" s="1790"/>
      <c r="AQ142" s="1790"/>
      <c r="AR142" s="1790"/>
      <c r="AS142" s="1790"/>
      <c r="AT142" s="1689"/>
      <c r="AU142" s="171"/>
      <c r="AX142" s="253"/>
      <c r="BD142" s="477" t="s">
        <v>1073</v>
      </c>
      <c r="BZ142" s="4"/>
      <c r="CA142" s="89"/>
      <c r="CB142" s="152"/>
      <c r="CC142" s="4"/>
      <c r="CD142" s="108"/>
      <c r="CE142" s="108"/>
      <c r="CF142" s="108"/>
      <c r="CG142" s="21"/>
      <c r="CH142" s="59" t="s">
        <v>638</v>
      </c>
      <c r="CI142" s="59"/>
      <c r="CJ142" s="59"/>
      <c r="CK142" s="59"/>
      <c r="CL142" s="59"/>
      <c r="CM142" s="59"/>
      <c r="CN142" s="59"/>
      <c r="CO142" s="10"/>
      <c r="CP142" s="82"/>
      <c r="CQ142" s="2"/>
      <c r="CR142" s="45"/>
      <c r="CS142" s="45"/>
      <c r="CT142" s="45"/>
      <c r="CU142" s="45"/>
      <c r="CV142" s="10"/>
      <c r="CY142" s="31"/>
      <c r="DC142" s="32"/>
      <c r="DD142" s="31"/>
      <c r="DE142" s="87"/>
      <c r="DF142" s="64"/>
      <c r="DV142" s="21"/>
      <c r="DX142" s="85"/>
      <c r="DY142" s="85"/>
    </row>
    <row r="143" spans="1:129" ht="19.5" hidden="1" customHeight="1">
      <c r="A143" s="354" t="s">
        <v>1234</v>
      </c>
      <c r="B143" s="181"/>
      <c r="C143" s="1868"/>
      <c r="D143" s="1869"/>
      <c r="E143" s="1869"/>
      <c r="F143" s="1869"/>
      <c r="G143" s="1869"/>
      <c r="H143" s="1869"/>
      <c r="I143" s="1870"/>
      <c r="J143" s="1655"/>
      <c r="K143" s="1656"/>
      <c r="L143" s="1656"/>
      <c r="M143" s="1656"/>
      <c r="N143" s="1656"/>
      <c r="O143" s="1656"/>
      <c r="P143" s="1656"/>
      <c r="Q143" s="1656"/>
      <c r="R143" s="1656"/>
      <c r="S143" s="1656"/>
      <c r="T143" s="1656"/>
      <c r="U143" s="1657"/>
      <c r="V143" s="1791">
        <v>0</v>
      </c>
      <c r="W143" s="1792"/>
      <c r="X143" s="1792"/>
      <c r="Y143" s="1792"/>
      <c r="Z143" s="1792"/>
      <c r="AA143" s="1651">
        <v>0</v>
      </c>
      <c r="AB143" s="1652"/>
      <c r="AC143" s="1652"/>
      <c r="AD143" s="228"/>
      <c r="AE143" s="1679">
        <f t="shared" si="17"/>
        <v>0</v>
      </c>
      <c r="AF143" s="1679"/>
      <c r="AG143" s="1679"/>
      <c r="AH143" s="1679"/>
      <c r="AI143" s="1679"/>
      <c r="AJ143" s="1680"/>
      <c r="AK143" s="1789"/>
      <c r="AL143" s="1790"/>
      <c r="AM143" s="1790"/>
      <c r="AN143" s="1790"/>
      <c r="AO143" s="1790"/>
      <c r="AP143" s="1790"/>
      <c r="AQ143" s="1790"/>
      <c r="AR143" s="1790"/>
      <c r="AS143" s="1790"/>
      <c r="AT143" s="1689"/>
      <c r="AU143" s="171"/>
      <c r="AX143" s="253"/>
      <c r="BD143" s="477" t="s">
        <v>1073</v>
      </c>
      <c r="BZ143" s="4"/>
      <c r="CA143" s="89"/>
      <c r="CB143" s="152"/>
      <c r="CC143" s="4"/>
      <c r="CD143" s="108"/>
      <c r="CE143" s="108"/>
      <c r="CF143" s="108"/>
      <c r="CG143" s="21"/>
      <c r="CH143" s="46" t="s">
        <v>323</v>
      </c>
      <c r="CI143" s="47" t="s">
        <v>586</v>
      </c>
      <c r="CJ143" s="47" t="s">
        <v>321</v>
      </c>
      <c r="CK143" s="46" t="s">
        <v>320</v>
      </c>
      <c r="CL143" s="46" t="s">
        <v>587</v>
      </c>
      <c r="CM143" s="46" t="s">
        <v>326</v>
      </c>
      <c r="CN143" s="46" t="s">
        <v>327</v>
      </c>
      <c r="CO143" s="46" t="s">
        <v>376</v>
      </c>
      <c r="CP143" s="46" t="s">
        <v>328</v>
      </c>
      <c r="CQ143" s="2"/>
      <c r="CR143" s="45"/>
      <c r="CS143" s="45"/>
      <c r="CT143" s="45"/>
      <c r="CU143" s="45"/>
      <c r="CV143" s="10"/>
      <c r="CW143" s="32"/>
      <c r="CY143" s="31"/>
      <c r="DC143" s="32"/>
      <c r="DD143" s="31"/>
      <c r="DE143" s="64"/>
      <c r="DF143" s="64"/>
      <c r="DV143" s="21"/>
      <c r="DX143" s="85"/>
      <c r="DY143" s="85"/>
    </row>
    <row r="144" spans="1:129" ht="19.5" hidden="1" customHeight="1">
      <c r="A144" s="354" t="s">
        <v>1234</v>
      </c>
      <c r="B144" s="181"/>
      <c r="C144" s="1868"/>
      <c r="D144" s="1869"/>
      <c r="E144" s="1869"/>
      <c r="F144" s="1869"/>
      <c r="G144" s="1869"/>
      <c r="H144" s="1869"/>
      <c r="I144" s="1870"/>
      <c r="J144" s="1655"/>
      <c r="K144" s="1656"/>
      <c r="L144" s="1656"/>
      <c r="M144" s="1656"/>
      <c r="N144" s="1656"/>
      <c r="O144" s="1656"/>
      <c r="P144" s="1656"/>
      <c r="Q144" s="1656"/>
      <c r="R144" s="1656"/>
      <c r="S144" s="1656"/>
      <c r="T144" s="1656"/>
      <c r="U144" s="1657"/>
      <c r="V144" s="1791">
        <v>0</v>
      </c>
      <c r="W144" s="1792"/>
      <c r="X144" s="1792"/>
      <c r="Y144" s="1792"/>
      <c r="Z144" s="1792"/>
      <c r="AA144" s="1651">
        <v>0</v>
      </c>
      <c r="AB144" s="1652"/>
      <c r="AC144" s="1652"/>
      <c r="AD144" s="228"/>
      <c r="AE144" s="1679">
        <f t="shared" si="17"/>
        <v>0</v>
      </c>
      <c r="AF144" s="1679"/>
      <c r="AG144" s="1679"/>
      <c r="AH144" s="1679"/>
      <c r="AI144" s="1679"/>
      <c r="AJ144" s="1680"/>
      <c r="AK144" s="1789"/>
      <c r="AL144" s="1790"/>
      <c r="AM144" s="1790"/>
      <c r="AN144" s="1790"/>
      <c r="AO144" s="1790"/>
      <c r="AP144" s="1790"/>
      <c r="AQ144" s="1790"/>
      <c r="AR144" s="1790"/>
      <c r="AS144" s="1790"/>
      <c r="AT144" s="1689"/>
      <c r="AU144" s="171"/>
      <c r="AX144" s="253"/>
      <c r="BD144" s="477" t="s">
        <v>1073</v>
      </c>
      <c r="BZ144" s="4"/>
      <c r="CA144" s="89"/>
      <c r="CB144" s="152"/>
      <c r="CC144" s="4"/>
      <c r="CD144" s="108"/>
      <c r="CE144" s="108"/>
      <c r="CF144" s="108"/>
      <c r="CG144" s="21"/>
      <c r="CH144" s="49" t="s">
        <v>313</v>
      </c>
      <c r="CI144" s="49"/>
      <c r="CJ144" s="49"/>
      <c r="CK144" s="49"/>
      <c r="CL144" s="49"/>
      <c r="CM144" s="49"/>
      <c r="CN144" s="49"/>
      <c r="CO144" s="83" t="s">
        <v>531</v>
      </c>
      <c r="CP144" s="84"/>
      <c r="CQ144" s="2"/>
      <c r="CR144" s="45"/>
      <c r="CS144" s="45"/>
      <c r="CT144" s="45"/>
      <c r="CU144" s="45"/>
      <c r="CV144" s="10"/>
      <c r="CW144" s="32"/>
      <c r="CY144" s="32"/>
      <c r="DB144" s="31"/>
      <c r="DC144" s="33"/>
      <c r="DD144" s="31"/>
      <c r="DE144" s="64"/>
      <c r="DF144" s="64"/>
      <c r="DV144" s="21"/>
      <c r="DX144" s="85"/>
      <c r="DY144" s="85"/>
    </row>
    <row r="145" spans="1:129" ht="19.5" customHeight="1">
      <c r="A145" s="354"/>
      <c r="B145" s="181"/>
      <c r="C145" s="1868"/>
      <c r="D145" s="1869"/>
      <c r="E145" s="1869"/>
      <c r="F145" s="1869"/>
      <c r="G145" s="1869"/>
      <c r="H145" s="1869"/>
      <c r="I145" s="1870"/>
      <c r="J145" s="1697" t="str">
        <f>記入シート2!J145</f>
        <v>値引き</v>
      </c>
      <c r="K145" s="1698"/>
      <c r="L145" s="1698"/>
      <c r="M145" s="1698"/>
      <c r="N145" s="1698"/>
      <c r="O145" s="1698"/>
      <c r="P145" s="1698"/>
      <c r="Q145" s="1698"/>
      <c r="R145" s="1698"/>
      <c r="S145" s="1698"/>
      <c r="T145" s="1698"/>
      <c r="U145" s="1699"/>
      <c r="V145" s="1649"/>
      <c r="W145" s="1650"/>
      <c r="X145" s="1650"/>
      <c r="Y145" s="1650"/>
      <c r="Z145" s="1650"/>
      <c r="AA145" s="1651"/>
      <c r="AB145" s="1652"/>
      <c r="AC145" s="1652"/>
      <c r="AD145" s="240"/>
      <c r="AE145" s="1653"/>
      <c r="AF145" s="1653"/>
      <c r="AG145" s="1653"/>
      <c r="AH145" s="1653"/>
      <c r="AI145" s="1653"/>
      <c r="AJ145" s="1654"/>
      <c r="AK145" s="1687"/>
      <c r="AL145" s="1688"/>
      <c r="AM145" s="1688"/>
      <c r="AN145" s="1688"/>
      <c r="AO145" s="1688"/>
      <c r="AP145" s="1688"/>
      <c r="AQ145" s="1688"/>
      <c r="AR145" s="1688"/>
      <c r="AS145" s="1688"/>
      <c r="AT145" s="1689"/>
      <c r="AU145" s="171"/>
      <c r="AV145" s="151" t="s">
        <v>1956</v>
      </c>
      <c r="BZ145" s="4"/>
      <c r="CA145" s="89"/>
      <c r="CB145" s="152"/>
      <c r="CC145" s="4"/>
      <c r="CD145" s="108"/>
      <c r="CE145" s="108"/>
      <c r="CF145" s="108"/>
      <c r="CG145" s="21"/>
      <c r="CH145" s="49" t="s">
        <v>296</v>
      </c>
      <c r="CI145" s="49"/>
      <c r="CJ145" s="49"/>
      <c r="CK145" s="49"/>
      <c r="CL145" s="49"/>
      <c r="CM145" s="49"/>
      <c r="CN145" s="49"/>
      <c r="CO145" s="83" t="s">
        <v>532</v>
      </c>
      <c r="CP145" s="84"/>
      <c r="CQ145" s="2"/>
      <c r="CR145" s="45"/>
      <c r="CS145" s="45"/>
      <c r="CT145" s="45"/>
      <c r="CU145" s="45"/>
      <c r="CV145" s="10"/>
      <c r="CW145" s="32"/>
      <c r="CX145" s="32"/>
      <c r="CY145" s="32"/>
      <c r="CZ145" s="33"/>
      <c r="DA145" s="31"/>
      <c r="DB145" s="31"/>
      <c r="DC145" s="33"/>
      <c r="DD145" s="32"/>
      <c r="DE145" s="64"/>
      <c r="DF145" s="64"/>
      <c r="DV145" s="21"/>
      <c r="DX145" s="85"/>
      <c r="DY145" s="85"/>
    </row>
    <row r="146" spans="1:129" ht="19.5" hidden="1" customHeight="1">
      <c r="A146" s="354" t="s">
        <v>1234</v>
      </c>
      <c r="B146" s="181"/>
      <c r="C146" s="1868"/>
      <c r="D146" s="1869"/>
      <c r="E146" s="1869"/>
      <c r="F146" s="1869"/>
      <c r="G146" s="1869"/>
      <c r="H146" s="1869"/>
      <c r="I146" s="1870"/>
      <c r="J146" s="1697"/>
      <c r="K146" s="1698"/>
      <c r="L146" s="1698"/>
      <c r="M146" s="1698"/>
      <c r="N146" s="1698"/>
      <c r="O146" s="1698"/>
      <c r="P146" s="1698"/>
      <c r="Q146" s="1698"/>
      <c r="R146" s="1698"/>
      <c r="S146" s="1698"/>
      <c r="T146" s="1698"/>
      <c r="U146" s="1699"/>
      <c r="V146" s="1649"/>
      <c r="W146" s="1650"/>
      <c r="X146" s="1650"/>
      <c r="Y146" s="1650"/>
      <c r="Z146" s="1650"/>
      <c r="AA146" s="1651"/>
      <c r="AB146" s="1652"/>
      <c r="AC146" s="1652"/>
      <c r="AD146" s="240"/>
      <c r="AE146" s="1653"/>
      <c r="AF146" s="1653"/>
      <c r="AG146" s="1653"/>
      <c r="AH146" s="1653"/>
      <c r="AI146" s="1653"/>
      <c r="AJ146" s="1654"/>
      <c r="AK146" s="1687"/>
      <c r="AL146" s="1688"/>
      <c r="AM146" s="1688"/>
      <c r="AN146" s="1688"/>
      <c r="AO146" s="1688"/>
      <c r="AP146" s="1688"/>
      <c r="AQ146" s="1688"/>
      <c r="AR146" s="1688"/>
      <c r="AS146" s="1688"/>
      <c r="AT146" s="1689"/>
      <c r="AU146" s="171"/>
      <c r="AV146" s="151" t="s">
        <v>1956</v>
      </c>
      <c r="BZ146" s="4"/>
      <c r="CA146" s="89"/>
      <c r="CB146" s="152"/>
      <c r="CC146" s="4"/>
      <c r="CD146" s="108"/>
      <c r="CE146" s="108"/>
      <c r="CF146" s="108"/>
      <c r="CG146" s="21"/>
      <c r="CH146" s="49" t="s">
        <v>144</v>
      </c>
      <c r="CI146" s="49"/>
      <c r="CJ146" s="49"/>
      <c r="CK146" s="49"/>
      <c r="CL146" s="49"/>
      <c r="CM146" s="49"/>
      <c r="CN146" s="49"/>
      <c r="CO146" s="83" t="s">
        <v>533</v>
      </c>
      <c r="CP146" s="84"/>
      <c r="CQ146" s="2"/>
      <c r="CR146" s="45"/>
      <c r="CS146" s="45"/>
      <c r="CT146" s="45"/>
      <c r="CU146" s="45"/>
      <c r="CV146" s="10"/>
      <c r="CW146" s="32"/>
      <c r="CX146" s="32"/>
      <c r="CY146" s="32"/>
      <c r="CZ146" s="33"/>
      <c r="DA146" s="31"/>
      <c r="DB146" s="31"/>
      <c r="DC146" s="33"/>
      <c r="DD146" s="32"/>
      <c r="DE146" s="64"/>
      <c r="DF146" s="64"/>
      <c r="DV146" s="21"/>
      <c r="DX146" s="85"/>
      <c r="DY146" s="85"/>
    </row>
    <row r="147" spans="1:129" ht="19.5" customHeight="1" thickBot="1">
      <c r="A147" s="111"/>
      <c r="B147" s="181"/>
      <c r="C147" s="1868"/>
      <c r="D147" s="1869"/>
      <c r="E147" s="1869"/>
      <c r="F147" s="1869"/>
      <c r="G147" s="1869"/>
      <c r="H147" s="1869"/>
      <c r="I147" s="1870"/>
      <c r="J147" s="1690" t="s">
        <v>984</v>
      </c>
      <c r="K147" s="1691"/>
      <c r="L147" s="1691"/>
      <c r="M147" s="1691"/>
      <c r="N147" s="1691"/>
      <c r="O147" s="1691"/>
      <c r="P147" s="1691"/>
      <c r="Q147" s="1691"/>
      <c r="R147" s="1691"/>
      <c r="S147" s="1691"/>
      <c r="T147" s="1691"/>
      <c r="U147" s="1692"/>
      <c r="V147" s="1693"/>
      <c r="W147" s="1694"/>
      <c r="X147" s="1694"/>
      <c r="Y147" s="1694"/>
      <c r="Z147" s="1694"/>
      <c r="AA147" s="395"/>
      <c r="AB147" s="396"/>
      <c r="AC147" s="396"/>
      <c r="AD147" s="241"/>
      <c r="AE147" s="1695">
        <f>SUM(AE126:AJ146)</f>
        <v>114980</v>
      </c>
      <c r="AF147" s="1695"/>
      <c r="AG147" s="1695"/>
      <c r="AH147" s="1695"/>
      <c r="AI147" s="1695"/>
      <c r="AJ147" s="1696"/>
      <c r="AK147" s="1687"/>
      <c r="AL147" s="1688"/>
      <c r="AM147" s="1688"/>
      <c r="AN147" s="1688"/>
      <c r="AO147" s="1688"/>
      <c r="AP147" s="1688"/>
      <c r="AQ147" s="1688"/>
      <c r="AR147" s="1688"/>
      <c r="AS147" s="1688"/>
      <c r="AT147" s="1689"/>
      <c r="AU147" s="171"/>
      <c r="BZ147" s="4"/>
      <c r="CA147" s="89"/>
      <c r="CB147" s="152"/>
      <c r="CC147" s="4"/>
      <c r="CD147" s="108"/>
      <c r="CE147" s="108"/>
      <c r="CF147" s="108"/>
      <c r="CG147" s="21"/>
      <c r="CH147" s="49" t="s">
        <v>142</v>
      </c>
      <c r="CI147" s="49"/>
      <c r="CJ147" s="49"/>
      <c r="CK147" s="49"/>
      <c r="CL147" s="49"/>
      <c r="CM147" s="49"/>
      <c r="CN147" s="49"/>
      <c r="CO147" s="83" t="s">
        <v>534</v>
      </c>
      <c r="CP147" s="84"/>
      <c r="CQ147" s="2"/>
      <c r="CR147" s="45"/>
      <c r="CS147" s="45"/>
      <c r="CT147" s="45"/>
      <c r="CU147" s="45"/>
      <c r="CV147" s="10"/>
      <c r="CW147" s="32"/>
      <c r="CX147" s="32"/>
      <c r="CY147" s="31"/>
      <c r="CZ147" s="33"/>
      <c r="DA147" s="31"/>
      <c r="DC147" s="32"/>
      <c r="DD147" s="32"/>
      <c r="DE147" s="64"/>
      <c r="DF147" s="64"/>
      <c r="DV147" s="21"/>
      <c r="DX147" s="85"/>
      <c r="DY147" s="85"/>
    </row>
    <row r="148" spans="1:129" ht="19.5" customHeight="1" thickTop="1" thickBot="1">
      <c r="A148" s="111"/>
      <c r="B148" s="181"/>
      <c r="C148" s="174"/>
      <c r="D148" s="175"/>
      <c r="E148" s="175"/>
      <c r="F148" s="175"/>
      <c r="G148" s="175"/>
      <c r="H148" s="175"/>
      <c r="I148" s="727"/>
      <c r="J148" s="175"/>
      <c r="K148" s="175"/>
      <c r="L148" s="169"/>
      <c r="M148" s="169"/>
      <c r="N148" s="169"/>
      <c r="O148" s="170"/>
      <c r="P148" s="170"/>
      <c r="Q148" s="159"/>
      <c r="R148" s="159"/>
      <c r="S148" s="159"/>
      <c r="T148" s="159"/>
      <c r="U148" s="159"/>
      <c r="V148" s="1648" t="str">
        <f>IF(AND(AV18=TRUE,AV126="NG"),"申込まない項目についてもゼロをご入力ください","")</f>
        <v/>
      </c>
      <c r="W148" s="1648"/>
      <c r="X148" s="1648"/>
      <c r="Y148" s="1648"/>
      <c r="Z148" s="1648"/>
      <c r="AA148" s="1648"/>
      <c r="AB148" s="1648"/>
      <c r="AC148" s="1648"/>
      <c r="AD148" s="1648"/>
      <c r="AE148" s="1648"/>
      <c r="AF148" s="1648"/>
      <c r="AG148" s="1648"/>
      <c r="AH148" s="1648"/>
      <c r="AI148" s="1648"/>
      <c r="AJ148" s="1648"/>
      <c r="AK148" s="1700" t="s">
        <v>1055</v>
      </c>
      <c r="AL148" s="1701"/>
      <c r="AM148" s="1701"/>
      <c r="AN148" s="1701"/>
      <c r="AO148" s="1701"/>
      <c r="AP148" s="1702">
        <f>記入シート2!AP148</f>
        <v>11013</v>
      </c>
      <c r="AQ148" s="1702"/>
      <c r="AR148" s="1702"/>
      <c r="AS148" s="831"/>
      <c r="AT148" s="832"/>
      <c r="AU148" s="171"/>
      <c r="BZ148" s="4"/>
      <c r="CA148" s="89"/>
      <c r="CB148" s="152"/>
      <c r="CC148" s="4"/>
      <c r="CD148" s="108"/>
      <c r="CE148" s="108"/>
      <c r="CF148" s="108"/>
      <c r="CG148" s="21"/>
      <c r="CH148" s="49" t="s">
        <v>140</v>
      </c>
      <c r="CI148" s="49"/>
      <c r="CJ148" s="49"/>
      <c r="CK148" s="49"/>
      <c r="CL148" s="49"/>
      <c r="CM148" s="49"/>
      <c r="CN148" s="49"/>
      <c r="CO148" s="83" t="s">
        <v>535</v>
      </c>
      <c r="CP148" s="84"/>
      <c r="CQ148" s="2"/>
      <c r="CR148" s="45"/>
      <c r="CS148" s="45"/>
      <c r="CT148" s="45"/>
      <c r="CU148" s="45"/>
      <c r="CV148" s="10"/>
      <c r="CW148" s="32"/>
      <c r="CX148" s="32"/>
      <c r="CY148" s="31"/>
      <c r="CZ148" s="33"/>
      <c r="DA148" s="31"/>
      <c r="DC148" s="32"/>
      <c r="DD148" s="32"/>
      <c r="DE148" s="64"/>
      <c r="DF148" s="64"/>
      <c r="DV148" s="21"/>
      <c r="DW148" s="2"/>
      <c r="DX148" s="85"/>
      <c r="DY148" s="85"/>
    </row>
    <row r="149" spans="1:129" ht="19.5" customHeight="1" thickTop="1">
      <c r="A149" s="111"/>
      <c r="B149" s="181"/>
      <c r="C149" s="1709" t="s">
        <v>858</v>
      </c>
      <c r="D149" s="1710"/>
      <c r="E149" s="1710"/>
      <c r="F149" s="1710"/>
      <c r="G149" s="1710"/>
      <c r="H149" s="1710"/>
      <c r="I149" s="1710"/>
      <c r="J149" s="1711"/>
      <c r="K149" s="1718"/>
      <c r="L149" s="1718"/>
      <c r="M149" s="1721" t="s">
        <v>1001</v>
      </c>
      <c r="N149" s="1722"/>
      <c r="O149" s="1722"/>
      <c r="P149" s="1722"/>
      <c r="Q149" s="1722"/>
      <c r="R149" s="1722"/>
      <c r="S149" s="1722"/>
      <c r="T149" s="1722"/>
      <c r="U149" s="1722"/>
      <c r="V149" s="1723"/>
      <c r="W149" s="1722"/>
      <c r="X149" s="1722"/>
      <c r="Y149" s="1726" t="s">
        <v>861</v>
      </c>
      <c r="Z149" s="1727"/>
      <c r="AA149" s="1727"/>
      <c r="AB149" s="1727"/>
      <c r="AC149" s="1727"/>
      <c r="AD149" s="1727"/>
      <c r="AE149" s="1727"/>
      <c r="AF149" s="1727"/>
      <c r="AG149" s="1727"/>
      <c r="AH149" s="1728"/>
      <c r="AI149" s="1722"/>
      <c r="AJ149" s="1722"/>
      <c r="AK149" s="1703" t="s">
        <v>3585</v>
      </c>
      <c r="AL149" s="1704"/>
      <c r="AM149" s="1704"/>
      <c r="AN149" s="1704"/>
      <c r="AO149" s="1704"/>
      <c r="AP149" s="1704"/>
      <c r="AQ149" s="1704"/>
      <c r="AR149" s="1704"/>
      <c r="AS149" s="1704"/>
      <c r="AT149" s="1705"/>
      <c r="AU149" s="171"/>
      <c r="BZ149" s="11"/>
      <c r="CA149" s="89"/>
      <c r="CB149" s="152"/>
      <c r="CC149" s="4"/>
      <c r="CD149" s="108"/>
      <c r="CE149" s="108"/>
      <c r="CF149" s="108"/>
      <c r="CG149" s="21"/>
      <c r="CH149" s="49" t="s">
        <v>138</v>
      </c>
      <c r="CI149" s="49"/>
      <c r="CJ149" s="49"/>
      <c r="CK149" s="49"/>
      <c r="CL149" s="49"/>
      <c r="CM149" s="49"/>
      <c r="CN149" s="49"/>
      <c r="CO149" s="83" t="s">
        <v>536</v>
      </c>
      <c r="CP149" s="84"/>
      <c r="CQ149" s="2"/>
      <c r="CR149" s="45"/>
      <c r="CS149" s="45"/>
      <c r="CT149" s="45"/>
      <c r="CU149" s="45"/>
      <c r="CV149" s="10"/>
      <c r="CW149" s="32"/>
      <c r="CX149" s="32"/>
      <c r="CY149" s="31"/>
      <c r="CZ149" s="33"/>
      <c r="DA149" s="31"/>
      <c r="DC149" s="32"/>
      <c r="DD149" s="32"/>
      <c r="DE149" s="64"/>
      <c r="DF149" s="64"/>
      <c r="DV149" s="21"/>
      <c r="DW149" s="2"/>
      <c r="DX149" s="85"/>
      <c r="DY149" s="85"/>
    </row>
    <row r="150" spans="1:129" ht="19.5" customHeight="1">
      <c r="A150" s="111"/>
      <c r="B150" s="181"/>
      <c r="C150" s="1712"/>
      <c r="D150" s="1713"/>
      <c r="E150" s="1713"/>
      <c r="F150" s="1713"/>
      <c r="G150" s="1713"/>
      <c r="H150" s="1713"/>
      <c r="I150" s="1713"/>
      <c r="J150" s="1714"/>
      <c r="K150" s="1719"/>
      <c r="L150" s="1719"/>
      <c r="M150" s="1703"/>
      <c r="N150" s="1704"/>
      <c r="O150" s="1704"/>
      <c r="P150" s="1704"/>
      <c r="Q150" s="1704"/>
      <c r="R150" s="1704"/>
      <c r="S150" s="1704"/>
      <c r="T150" s="1704"/>
      <c r="U150" s="1704"/>
      <c r="V150" s="1724"/>
      <c r="W150" s="1704"/>
      <c r="X150" s="1704"/>
      <c r="Y150" s="1729"/>
      <c r="Z150" s="1730"/>
      <c r="AA150" s="1730"/>
      <c r="AB150" s="1730"/>
      <c r="AC150" s="1730"/>
      <c r="AD150" s="1730"/>
      <c r="AE150" s="1730"/>
      <c r="AF150" s="1730"/>
      <c r="AG150" s="1730"/>
      <c r="AH150" s="1731"/>
      <c r="AI150" s="1704"/>
      <c r="AJ150" s="1704"/>
      <c r="AK150" s="1703"/>
      <c r="AL150" s="1704"/>
      <c r="AM150" s="1704"/>
      <c r="AN150" s="1704"/>
      <c r="AO150" s="1704"/>
      <c r="AP150" s="1704"/>
      <c r="AQ150" s="1704"/>
      <c r="AR150" s="1704"/>
      <c r="AS150" s="1704"/>
      <c r="AT150" s="1705"/>
      <c r="AU150" s="171"/>
      <c r="AV150" s="151">
        <v>1</v>
      </c>
      <c r="BZ150" s="11"/>
      <c r="CA150" s="89"/>
      <c r="CB150" s="152"/>
      <c r="CC150" s="4"/>
      <c r="CD150" s="108"/>
      <c r="CE150" s="108"/>
      <c r="CF150" s="108"/>
      <c r="CG150" s="21"/>
      <c r="CH150" s="49" t="s">
        <v>135</v>
      </c>
      <c r="CI150" s="49"/>
      <c r="CJ150" s="49"/>
      <c r="CK150" s="49"/>
      <c r="CL150" s="49"/>
      <c r="CM150" s="49"/>
      <c r="CN150" s="49"/>
      <c r="CO150" s="83" t="s">
        <v>537</v>
      </c>
      <c r="CP150" s="84"/>
      <c r="CQ150" s="2"/>
      <c r="CR150" s="45"/>
      <c r="CS150" s="45"/>
      <c r="CT150" s="45"/>
      <c r="CU150" s="45"/>
      <c r="CV150" s="10"/>
      <c r="CW150" s="32"/>
      <c r="CX150" s="32"/>
      <c r="CY150" s="31"/>
      <c r="CZ150" s="33"/>
      <c r="DA150" s="31"/>
      <c r="DC150" s="32"/>
      <c r="DD150" s="32"/>
      <c r="DE150" s="64"/>
      <c r="DF150" s="64"/>
      <c r="DV150" s="21"/>
      <c r="DW150" s="2"/>
      <c r="DX150" s="85"/>
      <c r="DY150" s="85"/>
    </row>
    <row r="151" spans="1:129" ht="19.5" customHeight="1">
      <c r="A151" s="111"/>
      <c r="B151" s="181"/>
      <c r="C151" s="1715"/>
      <c r="D151" s="1716"/>
      <c r="E151" s="1716"/>
      <c r="F151" s="1716"/>
      <c r="G151" s="1716"/>
      <c r="H151" s="1716"/>
      <c r="I151" s="1716"/>
      <c r="J151" s="1717"/>
      <c r="K151" s="1720"/>
      <c r="L151" s="1720"/>
      <c r="M151" s="1706"/>
      <c r="N151" s="1707"/>
      <c r="O151" s="1707"/>
      <c r="P151" s="1707"/>
      <c r="Q151" s="1707"/>
      <c r="R151" s="1707"/>
      <c r="S151" s="1707"/>
      <c r="T151" s="1707"/>
      <c r="U151" s="1707"/>
      <c r="V151" s="1725"/>
      <c r="W151" s="1707"/>
      <c r="X151" s="1707"/>
      <c r="Y151" s="1732"/>
      <c r="Z151" s="1733"/>
      <c r="AA151" s="1733"/>
      <c r="AB151" s="1733"/>
      <c r="AC151" s="1733"/>
      <c r="AD151" s="1733"/>
      <c r="AE151" s="1733"/>
      <c r="AF151" s="1733"/>
      <c r="AG151" s="1733"/>
      <c r="AH151" s="1734"/>
      <c r="AI151" s="1707"/>
      <c r="AJ151" s="1707"/>
      <c r="AK151" s="1706"/>
      <c r="AL151" s="1707"/>
      <c r="AM151" s="1707"/>
      <c r="AN151" s="1707"/>
      <c r="AO151" s="1707"/>
      <c r="AP151" s="1707"/>
      <c r="AQ151" s="1707"/>
      <c r="AR151" s="1707"/>
      <c r="AS151" s="1707"/>
      <c r="AT151" s="1708"/>
      <c r="AU151" s="171"/>
      <c r="BZ151" s="11"/>
      <c r="CA151" s="89"/>
      <c r="CB151" s="152"/>
      <c r="CC151" s="4"/>
      <c r="CD151" s="108"/>
      <c r="CE151" s="108"/>
      <c r="CF151" s="108"/>
      <c r="CG151" s="21"/>
      <c r="CH151" s="49" t="s">
        <v>639</v>
      </c>
      <c r="CI151" s="49"/>
      <c r="CJ151" s="49"/>
      <c r="CK151" s="49"/>
      <c r="CL151" s="49"/>
      <c r="CM151" s="49"/>
      <c r="CN151" s="49"/>
      <c r="CO151" s="83" t="s">
        <v>538</v>
      </c>
      <c r="CP151" s="84"/>
      <c r="CQ151" s="2"/>
      <c r="CR151" s="45"/>
      <c r="CS151" s="45"/>
      <c r="CT151" s="45"/>
      <c r="CU151" s="45"/>
      <c r="CV151" s="10"/>
      <c r="CX151" s="32"/>
      <c r="CY151" s="31"/>
      <c r="CZ151" s="33"/>
      <c r="DA151" s="31"/>
      <c r="DC151" s="32"/>
      <c r="DD151" s="32"/>
      <c r="DE151" s="64"/>
      <c r="DF151" s="64"/>
      <c r="DV151" s="21"/>
      <c r="DW151" s="2"/>
      <c r="DX151" s="85"/>
      <c r="DY151" s="85"/>
    </row>
    <row r="152" spans="1:129" ht="19.5" customHeight="1">
      <c r="A152" s="111"/>
      <c r="B152" s="181"/>
      <c r="C152" s="1799" t="s">
        <v>3580</v>
      </c>
      <c r="D152" s="1800"/>
      <c r="E152" s="1800"/>
      <c r="F152" s="1800"/>
      <c r="G152" s="1800"/>
      <c r="H152" s="1800"/>
      <c r="I152" s="1803" t="s">
        <v>3581</v>
      </c>
      <c r="J152" s="1804"/>
      <c r="K152" s="1807"/>
      <c r="L152" s="1807"/>
      <c r="M152" s="1807"/>
      <c r="N152" s="1807"/>
      <c r="O152" s="1807"/>
      <c r="P152" s="1807"/>
      <c r="Q152" s="1807"/>
      <c r="R152" s="1807"/>
      <c r="S152" s="1807"/>
      <c r="T152" s="1807"/>
      <c r="U152" s="1807"/>
      <c r="V152" s="1807"/>
      <c r="W152" s="1807"/>
      <c r="X152" s="1807"/>
      <c r="Y152" s="1809" t="s">
        <v>3582</v>
      </c>
      <c r="Z152" s="1810"/>
      <c r="AA152" s="723" t="s">
        <v>3583</v>
      </c>
      <c r="AB152" s="1813"/>
      <c r="AC152" s="1813"/>
      <c r="AD152" s="723" t="s">
        <v>991</v>
      </c>
      <c r="AE152" s="1813"/>
      <c r="AF152" s="1813"/>
      <c r="AG152" s="1814" t="s">
        <v>3584</v>
      </c>
      <c r="AH152" s="1815"/>
      <c r="AI152" s="1815"/>
      <c r="AJ152" s="1816"/>
      <c r="AK152" s="1602"/>
      <c r="AL152" s="1602"/>
      <c r="AM152" s="1602"/>
      <c r="AN152" s="1602"/>
      <c r="AO152" s="1602"/>
      <c r="AP152" s="1602"/>
      <c r="AQ152" s="1602"/>
      <c r="AR152" s="1602"/>
      <c r="AS152" s="1602"/>
      <c r="AT152" s="1817"/>
      <c r="AU152" s="171"/>
      <c r="BZ152" s="11"/>
      <c r="CA152" s="89"/>
      <c r="CB152" s="152"/>
      <c r="CC152" s="4"/>
      <c r="CD152" s="108"/>
      <c r="CE152" s="108"/>
      <c r="CF152" s="108"/>
      <c r="CG152" s="21"/>
      <c r="CH152" s="49" t="s">
        <v>131</v>
      </c>
      <c r="CI152" s="49"/>
      <c r="CJ152" s="49"/>
      <c r="CK152" s="49"/>
      <c r="CL152" s="49"/>
      <c r="CM152" s="49"/>
      <c r="CN152" s="49"/>
      <c r="CO152" s="83" t="s">
        <v>635</v>
      </c>
      <c r="CP152" s="84"/>
      <c r="CQ152" s="2"/>
      <c r="CR152" s="45"/>
      <c r="CS152" s="45"/>
      <c r="CT152" s="45"/>
      <c r="CU152" s="45"/>
      <c r="CV152" s="10"/>
      <c r="CX152" s="32"/>
      <c r="CY152" s="31"/>
      <c r="CZ152" s="33"/>
      <c r="DA152" s="31"/>
      <c r="DC152" s="32"/>
      <c r="DD152" s="32"/>
      <c r="DE152" s="64"/>
      <c r="DF152" s="64"/>
      <c r="DV152" s="21"/>
      <c r="DW152" s="2"/>
      <c r="DX152" s="85"/>
      <c r="DY152" s="85"/>
    </row>
    <row r="153" spans="1:129" ht="19.5" customHeight="1" thickBot="1">
      <c r="A153" s="111"/>
      <c r="B153" s="181"/>
      <c r="C153" s="1801"/>
      <c r="D153" s="1802"/>
      <c r="E153" s="1802"/>
      <c r="F153" s="1802"/>
      <c r="G153" s="1802"/>
      <c r="H153" s="1802"/>
      <c r="I153" s="1805"/>
      <c r="J153" s="1806"/>
      <c r="K153" s="1808"/>
      <c r="L153" s="1808"/>
      <c r="M153" s="1808"/>
      <c r="N153" s="1808"/>
      <c r="O153" s="1808"/>
      <c r="P153" s="1808"/>
      <c r="Q153" s="1808"/>
      <c r="R153" s="1808"/>
      <c r="S153" s="1808"/>
      <c r="T153" s="1808"/>
      <c r="U153" s="1808"/>
      <c r="V153" s="1808"/>
      <c r="W153" s="1808"/>
      <c r="X153" s="1808"/>
      <c r="Y153" s="1811"/>
      <c r="Z153" s="1812"/>
      <c r="AA153" s="1818"/>
      <c r="AB153" s="1818"/>
      <c r="AC153" s="1818"/>
      <c r="AD153" s="1818"/>
      <c r="AE153" s="1818"/>
      <c r="AF153" s="1818"/>
      <c r="AG153" s="1818"/>
      <c r="AH153" s="1818"/>
      <c r="AI153" s="1818"/>
      <c r="AJ153" s="1818"/>
      <c r="AK153" s="1818"/>
      <c r="AL153" s="1818"/>
      <c r="AM153" s="1818"/>
      <c r="AN153" s="1818"/>
      <c r="AO153" s="1818"/>
      <c r="AP153" s="1818"/>
      <c r="AQ153" s="1818"/>
      <c r="AR153" s="1818"/>
      <c r="AS153" s="1818"/>
      <c r="AT153" s="1819"/>
      <c r="AU153" s="171"/>
      <c r="BZ153" s="11"/>
      <c r="CA153" s="89"/>
      <c r="CB153" s="152"/>
      <c r="CC153" s="4"/>
      <c r="CD153" s="108"/>
      <c r="CE153" s="108"/>
      <c r="CF153" s="108"/>
      <c r="CG153" s="21"/>
      <c r="CH153" s="49" t="s">
        <v>128</v>
      </c>
      <c r="CI153" s="49"/>
      <c r="CJ153" s="49"/>
      <c r="CK153" s="49"/>
      <c r="CL153" s="49"/>
      <c r="CM153" s="49"/>
      <c r="CN153" s="49"/>
      <c r="CO153" s="83" t="s">
        <v>539</v>
      </c>
      <c r="CP153" s="84"/>
      <c r="CQ153" s="2"/>
      <c r="CR153" s="45"/>
      <c r="CS153" s="45"/>
      <c r="CT153" s="45"/>
      <c r="CU153" s="45"/>
      <c r="CV153" s="10"/>
      <c r="CY153" s="31"/>
      <c r="DC153" s="32"/>
      <c r="DE153" s="64"/>
      <c r="DF153" s="64"/>
      <c r="DV153" s="28"/>
      <c r="DX153" s="85"/>
      <c r="DY153" s="85"/>
    </row>
    <row r="154" spans="1:129" ht="19.5" customHeight="1">
      <c r="A154" s="111"/>
      <c r="B154" s="181"/>
      <c r="C154" s="1793" t="s">
        <v>4350</v>
      </c>
      <c r="D154" s="1794"/>
      <c r="E154" s="1794"/>
      <c r="F154" s="1794"/>
      <c r="G154" s="1794"/>
      <c r="H154" s="1794"/>
      <c r="I154" s="1794"/>
      <c r="J154" s="1795"/>
      <c r="K154" s="1787" t="s">
        <v>4351</v>
      </c>
      <c r="L154" s="1787"/>
      <c r="M154" s="1787"/>
      <c r="N154" s="1787"/>
      <c r="O154" s="1787"/>
      <c r="P154" s="1788"/>
      <c r="Q154" s="883"/>
      <c r="R154" s="883"/>
      <c r="S154" s="1738" t="s">
        <v>4359</v>
      </c>
      <c r="T154" s="1738"/>
      <c r="U154" s="1738"/>
      <c r="V154" s="1738"/>
      <c r="W154" s="883"/>
      <c r="X154" s="883"/>
      <c r="Y154" s="1738" t="s">
        <v>4360</v>
      </c>
      <c r="Z154" s="1738"/>
      <c r="AA154" s="1738"/>
      <c r="AB154" s="1738"/>
      <c r="AC154" s="882"/>
      <c r="AD154" s="883"/>
      <c r="AE154" s="883"/>
      <c r="AF154" s="883"/>
      <c r="AG154" s="883"/>
      <c r="AH154" s="883"/>
      <c r="AI154" s="883"/>
      <c r="AJ154" s="883"/>
      <c r="AK154" s="883"/>
      <c r="AL154" s="883"/>
      <c r="AM154" s="883"/>
      <c r="AN154" s="883"/>
      <c r="AO154" s="883"/>
      <c r="AP154" s="883"/>
      <c r="AQ154" s="883"/>
      <c r="AR154" s="883"/>
      <c r="AS154" s="883"/>
      <c r="AT154" s="886"/>
      <c r="AU154" s="171"/>
      <c r="AV154" s="151">
        <v>2</v>
      </c>
      <c r="BZ154" s="11"/>
      <c r="CA154" s="89"/>
      <c r="CB154" s="152"/>
      <c r="CC154" s="4"/>
      <c r="CD154" s="108"/>
      <c r="CE154" s="108"/>
      <c r="CF154" s="108"/>
      <c r="CG154" s="21"/>
      <c r="CH154" s="49" t="s">
        <v>125</v>
      </c>
      <c r="CI154" s="49"/>
      <c r="CJ154" s="49"/>
      <c r="CK154" s="49"/>
      <c r="CL154" s="49"/>
      <c r="CM154" s="49"/>
      <c r="CN154" s="49"/>
      <c r="CO154" s="83" t="s">
        <v>540</v>
      </c>
      <c r="CP154" s="84"/>
      <c r="CQ154" s="2"/>
      <c r="CR154" s="45"/>
      <c r="CS154" s="45"/>
      <c r="CT154" s="45"/>
      <c r="CU154" s="45"/>
      <c r="CV154" s="10"/>
      <c r="CY154" s="31"/>
      <c r="DC154" s="32"/>
      <c r="DE154" s="64"/>
      <c r="DF154" s="64"/>
      <c r="DV154" s="28"/>
      <c r="DX154" s="85"/>
      <c r="DY154" s="85"/>
    </row>
    <row r="155" spans="1:129" ht="19.5" customHeight="1">
      <c r="A155" s="111"/>
      <c r="B155" s="181"/>
      <c r="C155" s="1796"/>
      <c r="D155" s="1797"/>
      <c r="E155" s="1797"/>
      <c r="F155" s="1797"/>
      <c r="G155" s="1797"/>
      <c r="H155" s="1797"/>
      <c r="I155" s="1797"/>
      <c r="J155" s="1798"/>
      <c r="K155" s="1736" t="s">
        <v>4352</v>
      </c>
      <c r="L155" s="1736"/>
      <c r="M155" s="1736"/>
      <c r="N155" s="1736"/>
      <c r="O155" s="1736"/>
      <c r="P155" s="1737"/>
      <c r="Q155" s="1820" t="s">
        <v>4435</v>
      </c>
      <c r="R155" s="1821"/>
      <c r="S155" s="1821"/>
      <c r="T155" s="1821"/>
      <c r="U155" s="1821"/>
      <c r="V155" s="1821"/>
      <c r="W155" s="1821"/>
      <c r="X155" s="1821"/>
      <c r="Y155" s="1821"/>
      <c r="Z155" s="1821"/>
      <c r="AA155" s="1821"/>
      <c r="AB155" s="1821"/>
      <c r="AC155" s="1821"/>
      <c r="AD155" s="1821"/>
      <c r="AE155" s="1821"/>
      <c r="AF155" s="1821"/>
      <c r="AG155" s="1821"/>
      <c r="AH155" s="1821"/>
      <c r="AI155" s="884"/>
      <c r="AJ155" s="888"/>
      <c r="AK155" s="888"/>
      <c r="AL155" s="888"/>
      <c r="AM155" s="888"/>
      <c r="AN155" s="888"/>
      <c r="AO155" s="888"/>
      <c r="AP155" s="888"/>
      <c r="AQ155" s="888"/>
      <c r="AR155" s="888"/>
      <c r="AS155" s="888"/>
      <c r="AT155" s="889"/>
      <c r="AU155" s="171"/>
      <c r="AV155" s="531" t="str">
        <f>IF(AV57=TRUE,IF(AND(Q155&lt;&gt;"",Q157&lt;&gt;"",Q158&lt;&gt;"",Q159&lt;&gt;"",Q160&lt;&gt;"",Q161&lt;&gt;"",AE161&lt;&gt;"",Q162&lt;&gt;"",Q163&lt;&gt;""),"OK","NG"),"OK")</f>
        <v>OK</v>
      </c>
      <c r="AW155" s="499" t="s">
        <v>2077</v>
      </c>
      <c r="BZ155" s="11"/>
      <c r="CA155" s="89"/>
      <c r="CB155" s="152"/>
      <c r="CC155" s="4"/>
      <c r="CD155" s="108"/>
      <c r="CE155" s="108"/>
      <c r="CF155" s="108"/>
      <c r="CG155" s="21"/>
      <c r="CH155" s="49" t="s">
        <v>124</v>
      </c>
      <c r="CI155" s="49"/>
      <c r="CJ155" s="49"/>
      <c r="CK155" s="49"/>
      <c r="CL155" s="49"/>
      <c r="CM155" s="49"/>
      <c r="CN155" s="49"/>
      <c r="CO155" s="83" t="s">
        <v>541</v>
      </c>
      <c r="CP155" s="84"/>
      <c r="CQ155" s="2"/>
      <c r="CR155" s="45"/>
      <c r="CS155" s="45"/>
      <c r="CT155" s="45"/>
      <c r="CU155" s="45"/>
      <c r="CV155" s="10"/>
      <c r="DE155" s="64"/>
      <c r="DF155" s="64"/>
      <c r="DV155" s="28"/>
      <c r="DX155" s="85"/>
      <c r="DY155" s="85"/>
    </row>
    <row r="156" spans="1:129" ht="19.5" customHeight="1">
      <c r="A156" s="111"/>
      <c r="B156" s="181"/>
      <c r="C156" s="1796"/>
      <c r="D156" s="1797"/>
      <c r="E156" s="1797"/>
      <c r="F156" s="1797"/>
      <c r="G156" s="1797"/>
      <c r="H156" s="1797"/>
      <c r="I156" s="1797"/>
      <c r="J156" s="1798"/>
      <c r="K156" s="1736" t="s">
        <v>4353</v>
      </c>
      <c r="L156" s="1736"/>
      <c r="M156" s="1736"/>
      <c r="N156" s="1736"/>
      <c r="O156" s="1736"/>
      <c r="P156" s="1737"/>
      <c r="Q156" s="885"/>
      <c r="R156" s="885"/>
      <c r="S156" s="1681" t="s">
        <v>4363</v>
      </c>
      <c r="T156" s="1681"/>
      <c r="U156" s="1681"/>
      <c r="V156" s="1681"/>
      <c r="W156" s="885"/>
      <c r="X156" s="885"/>
      <c r="Y156" s="1681" t="s">
        <v>4364</v>
      </c>
      <c r="Z156" s="1681"/>
      <c r="AA156" s="1681"/>
      <c r="AB156" s="1739"/>
      <c r="AC156" s="1740" t="s">
        <v>4354</v>
      </c>
      <c r="AD156" s="1681"/>
      <c r="AE156" s="1681"/>
      <c r="AF156" s="1681"/>
      <c r="AG156" s="1681"/>
      <c r="AH156" s="1741"/>
      <c r="AI156" s="885"/>
      <c r="AJ156" s="885"/>
      <c r="AK156" s="1681" t="s">
        <v>4372</v>
      </c>
      <c r="AL156" s="1681"/>
      <c r="AM156" s="1681"/>
      <c r="AN156" s="1681"/>
      <c r="AO156" s="885"/>
      <c r="AP156" s="885"/>
      <c r="AQ156" s="1681" t="s">
        <v>4371</v>
      </c>
      <c r="AR156" s="1681"/>
      <c r="AS156" s="1681"/>
      <c r="AT156" s="1735"/>
      <c r="AU156" s="171"/>
      <c r="AV156" s="151">
        <v>1</v>
      </c>
      <c r="AW156" s="20">
        <v>2</v>
      </c>
      <c r="BZ156" s="11"/>
      <c r="CA156" s="89"/>
      <c r="CB156" s="152"/>
      <c r="CC156" s="4"/>
      <c r="CD156" s="108"/>
      <c r="CE156" s="108"/>
      <c r="CF156" s="108"/>
      <c r="CG156" s="21"/>
      <c r="CH156" s="49" t="s">
        <v>119</v>
      </c>
      <c r="CI156" s="49"/>
      <c r="CJ156" s="49"/>
      <c r="CK156" s="49"/>
      <c r="CL156" s="49"/>
      <c r="CM156" s="49"/>
      <c r="CN156" s="49"/>
      <c r="CO156" s="83" t="s">
        <v>542</v>
      </c>
      <c r="CP156" s="84"/>
      <c r="CQ156" s="2"/>
      <c r="CR156" s="45"/>
      <c r="CS156" s="45"/>
      <c r="CT156" s="45"/>
      <c r="CU156" s="45"/>
      <c r="CV156" s="10"/>
      <c r="DE156" s="64"/>
      <c r="DF156" s="64"/>
      <c r="DX156" s="85"/>
      <c r="DY156" s="85"/>
    </row>
    <row r="157" spans="1:129" ht="19.5" customHeight="1">
      <c r="A157" s="111"/>
      <c r="B157" s="181"/>
      <c r="C157" s="1796"/>
      <c r="D157" s="1797"/>
      <c r="E157" s="1797"/>
      <c r="F157" s="1797"/>
      <c r="G157" s="1797"/>
      <c r="H157" s="1797"/>
      <c r="I157" s="1797"/>
      <c r="J157" s="1798"/>
      <c r="K157" s="1736" t="s">
        <v>4355</v>
      </c>
      <c r="L157" s="1736"/>
      <c r="M157" s="1736"/>
      <c r="N157" s="1736"/>
      <c r="O157" s="1736"/>
      <c r="P157" s="1737"/>
      <c r="Q157" s="885"/>
      <c r="R157" s="885"/>
      <c r="S157" s="1681" t="s">
        <v>4361</v>
      </c>
      <c r="T157" s="1681"/>
      <c r="U157" s="1681"/>
      <c r="V157" s="1681"/>
      <c r="W157" s="885"/>
      <c r="X157" s="885"/>
      <c r="Y157" s="1681" t="s">
        <v>4362</v>
      </c>
      <c r="Z157" s="1681"/>
      <c r="AA157" s="1681"/>
      <c r="AB157" s="1739"/>
      <c r="AC157" s="884"/>
      <c r="AD157" s="885"/>
      <c r="AE157" s="885"/>
      <c r="AF157" s="885"/>
      <c r="AG157" s="885"/>
      <c r="AH157" s="885"/>
      <c r="AI157" s="885"/>
      <c r="AJ157" s="885"/>
      <c r="AK157" s="885"/>
      <c r="AL157" s="885"/>
      <c r="AM157" s="885"/>
      <c r="AN157" s="885"/>
      <c r="AO157" s="885"/>
      <c r="AP157" s="885"/>
      <c r="AQ157" s="885"/>
      <c r="AR157" s="885"/>
      <c r="AS157" s="885"/>
      <c r="AT157" s="887"/>
      <c r="AU157" s="171"/>
      <c r="AV157" s="151">
        <v>1</v>
      </c>
      <c r="BZ157" s="11"/>
      <c r="CA157" s="89"/>
      <c r="CB157" s="152"/>
      <c r="CC157" s="4"/>
      <c r="CD157" s="108"/>
      <c r="CE157" s="108"/>
      <c r="CF157" s="108"/>
      <c r="CG157" s="28"/>
      <c r="CH157" s="49" t="s">
        <v>118</v>
      </c>
      <c r="CI157" s="49"/>
      <c r="CJ157" s="49"/>
      <c r="CK157" s="49"/>
      <c r="CL157" s="49"/>
      <c r="CM157" s="49"/>
      <c r="CN157" s="49"/>
      <c r="CO157" s="83" t="s">
        <v>543</v>
      </c>
      <c r="CP157" s="84"/>
      <c r="CQ157" s="2"/>
      <c r="CR157" s="45"/>
      <c r="CS157" s="45"/>
      <c r="CT157" s="45"/>
      <c r="CU157" s="45"/>
      <c r="CV157" s="10"/>
      <c r="DE157" s="64"/>
      <c r="DF157" s="64"/>
      <c r="DX157" s="85"/>
      <c r="DY157" s="85"/>
    </row>
    <row r="158" spans="1:129" ht="19.5" customHeight="1" thickBot="1">
      <c r="A158" s="111"/>
      <c r="B158" s="181"/>
      <c r="C158" s="1796"/>
      <c r="D158" s="1797"/>
      <c r="E158" s="1797"/>
      <c r="F158" s="1797"/>
      <c r="G158" s="1797"/>
      <c r="H158" s="1797"/>
      <c r="I158" s="1797"/>
      <c r="J158" s="1798"/>
      <c r="K158" s="1785" t="s">
        <v>4356</v>
      </c>
      <c r="L158" s="1785"/>
      <c r="M158" s="1785"/>
      <c r="N158" s="1785"/>
      <c r="O158" s="1785"/>
      <c r="P158" s="1786"/>
      <c r="Q158" s="888"/>
      <c r="R158" s="888"/>
      <c r="S158" s="1686" t="s">
        <v>4363</v>
      </c>
      <c r="T158" s="1686"/>
      <c r="U158" s="1686"/>
      <c r="V158" s="888"/>
      <c r="W158" s="888"/>
      <c r="X158" s="1686" t="s">
        <v>4367</v>
      </c>
      <c r="Y158" s="1686"/>
      <c r="Z158" s="1686"/>
      <c r="AA158" s="888"/>
      <c r="AB158" s="888"/>
      <c r="AC158" s="1686" t="s">
        <v>4366</v>
      </c>
      <c r="AD158" s="1686"/>
      <c r="AE158" s="1753"/>
      <c r="AF158" s="933"/>
      <c r="AG158" s="888"/>
      <c r="AH158" s="888"/>
      <c r="AI158" s="888"/>
      <c r="AJ158" s="888"/>
      <c r="AK158" s="888"/>
      <c r="AL158" s="888"/>
      <c r="AM158" s="888"/>
      <c r="AN158" s="888"/>
      <c r="AO158" s="888"/>
      <c r="AP158" s="888"/>
      <c r="AQ158" s="888"/>
      <c r="AR158" s="888"/>
      <c r="AS158" s="888"/>
      <c r="AT158" s="889"/>
      <c r="AU158" s="171"/>
      <c r="AV158" s="151">
        <v>1</v>
      </c>
      <c r="BZ158" s="11"/>
      <c r="CA158" s="89"/>
      <c r="CB158" s="152"/>
      <c r="CC158" s="4"/>
      <c r="CD158" s="108"/>
      <c r="CE158" s="108"/>
      <c r="CF158" s="108"/>
      <c r="CG158" s="28"/>
      <c r="CH158" s="49" t="s">
        <v>109</v>
      </c>
      <c r="CI158" s="49"/>
      <c r="CJ158" s="49"/>
      <c r="CK158" s="49"/>
      <c r="CL158" s="49"/>
      <c r="CM158" s="49"/>
      <c r="CN158" s="49"/>
      <c r="CO158" s="83" t="s">
        <v>545</v>
      </c>
      <c r="CP158" s="84"/>
      <c r="CQ158" s="2"/>
      <c r="CR158" s="45"/>
      <c r="CS158" s="45"/>
      <c r="CT158" s="45"/>
      <c r="CU158" s="45"/>
      <c r="CV158" s="10"/>
      <c r="DE158" s="64"/>
      <c r="DF158" s="64"/>
      <c r="DX158" s="85"/>
      <c r="DY158" s="85"/>
    </row>
    <row r="159" spans="1:129" ht="19.5" customHeight="1" thickTop="1" thickBot="1">
      <c r="A159" s="111"/>
      <c r="B159" s="181"/>
      <c r="C159" s="1067"/>
      <c r="D159" s="1068"/>
      <c r="E159" s="1068"/>
      <c r="F159" s="1068"/>
      <c r="G159" s="2520" t="s">
        <v>5643</v>
      </c>
      <c r="H159" s="2521"/>
      <c r="I159" s="2521"/>
      <c r="J159" s="2522"/>
      <c r="K159" s="1748" t="s">
        <v>4376</v>
      </c>
      <c r="L159" s="1749"/>
      <c r="M159" s="1749"/>
      <c r="N159" s="1749"/>
      <c r="O159" s="1749"/>
      <c r="P159" s="1750"/>
      <c r="Q159" s="1072"/>
      <c r="R159" s="1072"/>
      <c r="S159" s="1746" t="s">
        <v>4377</v>
      </c>
      <c r="T159" s="1746"/>
      <c r="U159" s="1746"/>
      <c r="V159" s="1746"/>
      <c r="W159" s="1073"/>
      <c r="X159" s="1073"/>
      <c r="Y159" s="1746" t="s">
        <v>4378</v>
      </c>
      <c r="Z159" s="1746"/>
      <c r="AA159" s="1746"/>
      <c r="AB159" s="1747"/>
      <c r="AC159" s="1748" t="s">
        <v>4357</v>
      </c>
      <c r="AD159" s="1749"/>
      <c r="AE159" s="1749"/>
      <c r="AF159" s="1749"/>
      <c r="AG159" s="1749"/>
      <c r="AH159" s="1749"/>
      <c r="AI159" s="1749"/>
      <c r="AJ159" s="1750"/>
      <c r="AK159" s="1779">
        <v>10000</v>
      </c>
      <c r="AL159" s="1779"/>
      <c r="AM159" s="1779"/>
      <c r="AN159" s="1779"/>
      <c r="AO159" s="1779"/>
      <c r="AP159" s="1779"/>
      <c r="AQ159" s="1779"/>
      <c r="AR159" s="1779"/>
      <c r="AS159" s="1779"/>
      <c r="AT159" s="1780"/>
      <c r="AU159" s="171"/>
      <c r="AV159" s="151">
        <v>2</v>
      </c>
      <c r="BZ159" s="11"/>
      <c r="CA159" s="89"/>
      <c r="CB159" s="152"/>
      <c r="CC159" s="4"/>
      <c r="CD159" s="108"/>
      <c r="CE159" s="108"/>
      <c r="CF159" s="108"/>
      <c r="CG159" s="28"/>
      <c r="CH159" s="49" t="s">
        <v>108</v>
      </c>
      <c r="CI159" s="49"/>
      <c r="CJ159" s="49"/>
      <c r="CK159" s="49"/>
      <c r="CL159" s="49"/>
      <c r="CM159" s="49"/>
      <c r="CN159" s="49"/>
      <c r="CO159" s="83" t="s">
        <v>546</v>
      </c>
      <c r="CP159" s="84"/>
      <c r="CQ159" s="2"/>
      <c r="CR159" s="45"/>
      <c r="CS159" s="45"/>
      <c r="CT159" s="45"/>
      <c r="CU159" s="45"/>
      <c r="CV159" s="10"/>
      <c r="DE159" s="64"/>
      <c r="DF159" s="64"/>
      <c r="DX159" s="85"/>
      <c r="DY159" s="85"/>
    </row>
    <row r="160" spans="1:129" ht="19.5" hidden="1" customHeight="1">
      <c r="A160" s="354" t="s">
        <v>1234</v>
      </c>
      <c r="B160" s="181"/>
      <c r="C160" s="1067"/>
      <c r="D160" s="1068"/>
      <c r="E160" s="1068"/>
      <c r="F160" s="1068"/>
      <c r="G160" s="1068"/>
      <c r="H160" s="1068"/>
      <c r="I160" s="1068"/>
      <c r="J160" s="1068"/>
      <c r="K160" s="1782" t="s">
        <v>4358</v>
      </c>
      <c r="L160" s="1783"/>
      <c r="M160" s="1783"/>
      <c r="N160" s="1783"/>
      <c r="O160" s="1783"/>
      <c r="P160" s="1784"/>
      <c r="Q160" s="1071"/>
      <c r="R160" s="1071"/>
      <c r="S160" s="1783" t="s">
        <v>4359</v>
      </c>
      <c r="T160" s="1783"/>
      <c r="U160" s="1783"/>
      <c r="V160" s="1783"/>
      <c r="W160" s="1071"/>
      <c r="X160" s="1071"/>
      <c r="Y160" s="1783" t="s">
        <v>4360</v>
      </c>
      <c r="Z160" s="1783"/>
      <c r="AA160" s="1783"/>
      <c r="AB160" s="1783"/>
      <c r="AC160" s="901"/>
      <c r="AT160" s="902"/>
      <c r="AU160" s="171"/>
      <c r="AV160" s="151">
        <v>2</v>
      </c>
      <c r="BZ160" s="11"/>
      <c r="CA160" s="89"/>
      <c r="CB160" s="152"/>
      <c r="CC160" s="4"/>
      <c r="CD160" s="108"/>
      <c r="CE160" s="108"/>
      <c r="CF160" s="108"/>
      <c r="CH160" s="49" t="s">
        <v>104</v>
      </c>
      <c r="CI160" s="49"/>
      <c r="CJ160" s="49"/>
      <c r="CK160" s="49"/>
      <c r="CL160" s="49"/>
      <c r="CM160" s="49"/>
      <c r="CN160" s="49"/>
      <c r="CO160" s="83" t="s">
        <v>103</v>
      </c>
      <c r="CP160" s="84"/>
      <c r="CQ160" s="2"/>
      <c r="CR160" s="45"/>
      <c r="CS160" s="45"/>
      <c r="CT160" s="45"/>
      <c r="CU160" s="45"/>
      <c r="CV160" s="10"/>
      <c r="DE160" s="64"/>
      <c r="DX160" s="85"/>
      <c r="DY160" s="85"/>
    </row>
    <row r="161" spans="1:129" ht="19.5" hidden="1" customHeight="1" thickBot="1">
      <c r="A161" s="354" t="s">
        <v>1234</v>
      </c>
      <c r="B161" s="181"/>
      <c r="C161" s="1069"/>
      <c r="D161" s="1070"/>
      <c r="E161" s="1070"/>
      <c r="F161" s="1070"/>
      <c r="G161" s="1070"/>
      <c r="H161" s="1070"/>
      <c r="I161" s="1070"/>
      <c r="J161" s="1070"/>
      <c r="K161" s="1742" t="s">
        <v>4368</v>
      </c>
      <c r="L161" s="1137"/>
      <c r="M161" s="1137"/>
      <c r="N161" s="1137"/>
      <c r="O161" s="1743" t="s">
        <v>4369</v>
      </c>
      <c r="P161" s="1744"/>
      <c r="Q161" s="1744"/>
      <c r="R161" s="1745"/>
      <c r="S161" s="890"/>
      <c r="T161" s="890"/>
      <c r="U161" s="1751" t="s">
        <v>4359</v>
      </c>
      <c r="V161" s="1751"/>
      <c r="W161" s="1751"/>
      <c r="X161" s="1751"/>
      <c r="Y161" s="890"/>
      <c r="Z161" s="890"/>
      <c r="AA161" s="1751" t="s">
        <v>4360</v>
      </c>
      <c r="AB161" s="1751"/>
      <c r="AC161" s="1751"/>
      <c r="AD161" s="1752"/>
      <c r="AE161" s="1743" t="s">
        <v>4370</v>
      </c>
      <c r="AF161" s="1744"/>
      <c r="AG161" s="1744"/>
      <c r="AH161" s="1745"/>
      <c r="AI161" s="890"/>
      <c r="AJ161" s="890"/>
      <c r="AK161" s="1751" t="s">
        <v>4359</v>
      </c>
      <c r="AL161" s="1751"/>
      <c r="AM161" s="1751"/>
      <c r="AN161" s="1751"/>
      <c r="AO161" s="890"/>
      <c r="AP161" s="890"/>
      <c r="AQ161" s="1751" t="s">
        <v>4360</v>
      </c>
      <c r="AR161" s="1751"/>
      <c r="AS161" s="1751"/>
      <c r="AT161" s="1781"/>
      <c r="AU161" s="171"/>
      <c r="AV161" s="151">
        <v>2</v>
      </c>
      <c r="AW161" s="20">
        <v>2</v>
      </c>
      <c r="BZ161" s="11"/>
      <c r="CA161" s="89"/>
      <c r="CB161" s="152"/>
      <c r="CC161" s="4"/>
      <c r="CD161" s="108"/>
      <c r="CE161" s="108"/>
      <c r="CF161" s="108"/>
      <c r="CH161" s="49" t="s">
        <v>98</v>
      </c>
      <c r="CI161" s="49"/>
      <c r="CJ161" s="49"/>
      <c r="CK161" s="49"/>
      <c r="CL161" s="49"/>
      <c r="CM161" s="49"/>
      <c r="CN161" s="49"/>
      <c r="CO161" s="83" t="s">
        <v>547</v>
      </c>
      <c r="CP161" s="84"/>
      <c r="CQ161" s="2"/>
      <c r="CR161" s="45"/>
      <c r="CS161" s="45"/>
      <c r="CT161" s="45"/>
      <c r="CU161" s="45"/>
      <c r="CV161" s="10"/>
      <c r="DE161" s="64"/>
      <c r="DX161" s="85"/>
      <c r="DY161" s="85"/>
    </row>
    <row r="162" spans="1:129" ht="19.5" customHeight="1" thickTop="1" thickBot="1">
      <c r="A162" s="354"/>
      <c r="B162" s="181"/>
      <c r="C162" s="977"/>
      <c r="D162" s="977"/>
      <c r="E162" s="977"/>
      <c r="F162" s="977"/>
      <c r="G162" s="977"/>
      <c r="H162" s="977"/>
      <c r="I162" s="977"/>
      <c r="J162" s="977"/>
      <c r="K162" s="977"/>
      <c r="L162" s="978"/>
      <c r="M162" s="978"/>
      <c r="N162" s="978"/>
      <c r="O162" s="979"/>
      <c r="P162" s="979"/>
      <c r="Q162" s="980"/>
      <c r="R162" s="980"/>
      <c r="S162" s="980"/>
      <c r="T162" s="980"/>
      <c r="U162" s="980"/>
      <c r="V162" s="980"/>
      <c r="W162" s="980"/>
      <c r="X162" s="980"/>
      <c r="Y162" s="981"/>
      <c r="Z162" s="981"/>
      <c r="AA162" s="981"/>
      <c r="AB162" s="981"/>
      <c r="AC162" s="981"/>
      <c r="AD162" s="981"/>
      <c r="AE162" s="981"/>
      <c r="AF162" s="981"/>
      <c r="AG162" s="980"/>
      <c r="AH162" s="980"/>
      <c r="AI162" s="980"/>
      <c r="AJ162" s="980"/>
      <c r="AK162" s="982"/>
      <c r="AL162" s="982"/>
      <c r="AM162" s="983"/>
      <c r="AN162" s="983"/>
      <c r="AO162" s="982"/>
      <c r="AP162" s="982"/>
      <c r="AQ162" s="982"/>
      <c r="AR162" s="982"/>
      <c r="AS162" s="982"/>
      <c r="AT162" s="982"/>
      <c r="AU162" s="171"/>
      <c r="BZ162" s="11"/>
      <c r="CA162" s="89"/>
      <c r="CB162" s="152"/>
      <c r="CC162" s="4"/>
      <c r="CD162" s="108"/>
      <c r="CE162" s="108"/>
      <c r="CF162" s="108"/>
      <c r="CH162" s="49" t="s">
        <v>97</v>
      </c>
      <c r="CI162" s="49"/>
      <c r="CJ162" s="49"/>
      <c r="CK162" s="49"/>
      <c r="CL162" s="49"/>
      <c r="CM162" s="49"/>
      <c r="CN162" s="49"/>
      <c r="CO162" s="83" t="s">
        <v>548</v>
      </c>
      <c r="CP162" s="84"/>
      <c r="CQ162" s="2"/>
      <c r="CR162" s="45"/>
      <c r="CS162" s="45"/>
      <c r="CT162" s="45"/>
      <c r="CU162" s="45"/>
      <c r="CV162" s="10"/>
      <c r="DE162" s="64"/>
      <c r="DX162" s="85"/>
      <c r="DY162" s="85"/>
    </row>
    <row r="163" spans="1:129" ht="19.5" customHeight="1" thickTop="1">
      <c r="A163" s="354"/>
      <c r="B163" s="181"/>
      <c r="C163" s="1761" t="s">
        <v>2052</v>
      </c>
      <c r="D163" s="1762"/>
      <c r="E163" s="1762"/>
      <c r="F163" s="1762"/>
      <c r="G163" s="1762"/>
      <c r="H163" s="1762"/>
      <c r="I163" s="1762"/>
      <c r="J163" s="1763"/>
      <c r="K163" s="935"/>
      <c r="L163" s="936"/>
      <c r="M163" s="936"/>
      <c r="N163" s="936"/>
      <c r="O163" s="936"/>
      <c r="P163" s="936"/>
      <c r="Q163" s="936"/>
      <c r="R163" s="936"/>
      <c r="S163" s="936"/>
      <c r="T163" s="936"/>
      <c r="U163" s="936"/>
      <c r="V163" s="936"/>
      <c r="W163" s="936"/>
      <c r="X163" s="936"/>
      <c r="Y163" s="1682" t="s">
        <v>5022</v>
      </c>
      <c r="Z163" s="1683"/>
      <c r="AA163" s="1683"/>
      <c r="AB163" s="1684"/>
      <c r="AC163" s="1682" t="s">
        <v>4345</v>
      </c>
      <c r="AD163" s="1683"/>
      <c r="AE163" s="1683"/>
      <c r="AF163" s="1684"/>
      <c r="AG163" s="936"/>
      <c r="AH163" s="936"/>
      <c r="AI163" s="936"/>
      <c r="AJ163" s="936"/>
      <c r="AK163" s="936"/>
      <c r="AL163" s="936"/>
      <c r="AM163" s="936"/>
      <c r="AN163" s="936"/>
      <c r="AO163" s="936"/>
      <c r="AP163" s="936"/>
      <c r="AQ163" s="936"/>
      <c r="AR163" s="936"/>
      <c r="AS163" s="936"/>
      <c r="AT163" s="937"/>
      <c r="AU163" s="171"/>
      <c r="BZ163" s="11"/>
      <c r="CA163" s="89"/>
      <c r="CB163" s="152"/>
      <c r="CC163" s="4"/>
      <c r="CD163" s="108"/>
      <c r="CE163" s="108"/>
      <c r="CF163" s="108"/>
      <c r="CH163" s="49" t="s">
        <v>87</v>
      </c>
      <c r="CI163" s="49"/>
      <c r="CJ163" s="49"/>
      <c r="CK163" s="49"/>
      <c r="CL163" s="49"/>
      <c r="CM163" s="49"/>
      <c r="CN163" s="49"/>
      <c r="CO163" s="83" t="s">
        <v>549</v>
      </c>
      <c r="CP163" s="84"/>
      <c r="CQ163" s="2"/>
      <c r="CR163" s="45"/>
      <c r="CS163" s="45"/>
      <c r="CT163" s="45"/>
      <c r="CU163" s="45"/>
      <c r="CV163" s="10"/>
      <c r="CW163" s="32"/>
      <c r="DE163" s="64"/>
      <c r="DX163" s="85"/>
      <c r="DY163" s="85"/>
    </row>
    <row r="164" spans="1:129" ht="19.5" customHeight="1">
      <c r="A164" s="354"/>
      <c r="B164" s="181"/>
      <c r="C164" s="1764"/>
      <c r="D164" s="1765"/>
      <c r="E164" s="1765"/>
      <c r="F164" s="1765"/>
      <c r="G164" s="1765"/>
      <c r="H164" s="1765"/>
      <c r="I164" s="1765"/>
      <c r="J164" s="1766"/>
      <c r="K164" s="1770" t="s">
        <v>5014</v>
      </c>
      <c r="L164" s="1771"/>
      <c r="M164" s="1771"/>
      <c r="N164" s="1771"/>
      <c r="O164" s="1771"/>
      <c r="P164" s="1772"/>
      <c r="Q164" s="1777" t="s">
        <v>5015</v>
      </c>
      <c r="R164" s="1777"/>
      <c r="S164" s="1777"/>
      <c r="T164" s="1777"/>
      <c r="U164" s="1777"/>
      <c r="V164" s="1777"/>
      <c r="W164" s="1777"/>
      <c r="X164" s="1777"/>
      <c r="Y164" s="1685" t="s">
        <v>995</v>
      </c>
      <c r="Z164" s="1685"/>
      <c r="AA164" s="1685"/>
      <c r="AB164" s="1685"/>
      <c r="AC164" s="1685" t="s">
        <v>995</v>
      </c>
      <c r="AD164" s="1685"/>
      <c r="AE164" s="1685"/>
      <c r="AF164" s="1685"/>
      <c r="AG164" s="933"/>
      <c r="AH164" s="888"/>
      <c r="AI164" s="888"/>
      <c r="AJ164" s="888"/>
      <c r="AK164" s="888"/>
      <c r="AL164" s="888"/>
      <c r="AM164" s="888"/>
      <c r="AN164" s="888"/>
      <c r="AO164" s="888"/>
      <c r="AP164" s="888"/>
      <c r="AQ164" s="888"/>
      <c r="AR164" s="888"/>
      <c r="AS164" s="888"/>
      <c r="AT164" s="934"/>
      <c r="AU164" s="171"/>
      <c r="BZ164" s="11"/>
      <c r="CA164" s="89"/>
      <c r="CB164" s="152"/>
      <c r="CC164" s="4"/>
      <c r="CD164" s="108"/>
      <c r="CE164" s="108"/>
      <c r="CF164" s="108"/>
      <c r="CH164" s="49" t="s">
        <v>45</v>
      </c>
      <c r="CI164" s="49"/>
      <c r="CJ164" s="49"/>
      <c r="CK164" s="49"/>
      <c r="CL164" s="49"/>
      <c r="CM164" s="49"/>
      <c r="CN164" s="49"/>
      <c r="CO164" s="83" t="s">
        <v>44</v>
      </c>
      <c r="CP164" s="84"/>
      <c r="CQ164" s="2"/>
      <c r="CR164" s="45"/>
      <c r="CS164" s="45"/>
      <c r="CT164" s="45"/>
      <c r="CU164" s="45"/>
      <c r="CV164" s="10"/>
      <c r="CW164" s="32"/>
      <c r="DE164" s="64"/>
      <c r="DX164" s="85"/>
      <c r="DY164" s="85"/>
    </row>
    <row r="165" spans="1:129" ht="19.5" customHeight="1">
      <c r="A165" s="354"/>
      <c r="B165" s="181"/>
      <c r="C165" s="1764"/>
      <c r="D165" s="1765"/>
      <c r="E165" s="1765"/>
      <c r="F165" s="1765"/>
      <c r="G165" s="1765"/>
      <c r="H165" s="1765"/>
      <c r="I165" s="1765"/>
      <c r="J165" s="1766"/>
      <c r="K165" s="1773"/>
      <c r="L165" s="1771"/>
      <c r="M165" s="1771"/>
      <c r="N165" s="1771"/>
      <c r="O165" s="1771"/>
      <c r="P165" s="1772"/>
      <c r="Q165" s="1777" t="s">
        <v>5016</v>
      </c>
      <c r="R165" s="1777"/>
      <c r="S165" s="1777"/>
      <c r="T165" s="1777"/>
      <c r="U165" s="1777"/>
      <c r="V165" s="1777"/>
      <c r="W165" s="1777"/>
      <c r="X165" s="1777"/>
      <c r="Y165" s="1685" t="s">
        <v>995</v>
      </c>
      <c r="Z165" s="1685"/>
      <c r="AA165" s="1685"/>
      <c r="AB165" s="1685"/>
      <c r="AC165" s="1685" t="s">
        <v>995</v>
      </c>
      <c r="AD165" s="1685"/>
      <c r="AE165" s="1685"/>
      <c r="AF165" s="1685"/>
      <c r="AG165" s="633"/>
      <c r="AH165" s="126"/>
      <c r="AI165" s="126"/>
      <c r="AJ165" s="126"/>
      <c r="AK165" s="126"/>
      <c r="AL165" s="126"/>
      <c r="AM165" s="126"/>
      <c r="AN165" s="126"/>
      <c r="AO165" s="126"/>
      <c r="AP165" s="126"/>
      <c r="AQ165" s="126"/>
      <c r="AR165" s="126"/>
      <c r="AS165" s="126"/>
      <c r="AT165" s="938"/>
      <c r="AU165" s="171"/>
      <c r="BZ165" s="11"/>
      <c r="CA165" s="89"/>
      <c r="CB165" s="152"/>
      <c r="CC165" s="4"/>
      <c r="CD165" s="108"/>
      <c r="CE165" s="108"/>
      <c r="CF165" s="108"/>
      <c r="CH165" s="49" t="s">
        <v>43</v>
      </c>
      <c r="CI165" s="49"/>
      <c r="CJ165" s="49"/>
      <c r="CK165" s="49"/>
      <c r="CL165" s="49"/>
      <c r="CM165" s="49"/>
      <c r="CN165" s="49"/>
      <c r="CO165" s="83" t="s">
        <v>42</v>
      </c>
      <c r="CP165" s="84"/>
      <c r="CQ165" s="2"/>
      <c r="CR165" s="45"/>
      <c r="CS165" s="45"/>
      <c r="CT165" s="45"/>
      <c r="CU165" s="45"/>
      <c r="CV165" s="10"/>
      <c r="CW165" s="32"/>
      <c r="CX165" s="32"/>
      <c r="CZ165" s="64"/>
      <c r="DE165" s="64"/>
      <c r="DX165" s="85"/>
      <c r="DY165" s="85"/>
    </row>
    <row r="166" spans="1:129" ht="19.5" customHeight="1">
      <c r="A166" s="354"/>
      <c r="B166" s="181"/>
      <c r="C166" s="1764"/>
      <c r="D166" s="1765"/>
      <c r="E166" s="1765"/>
      <c r="F166" s="1765"/>
      <c r="G166" s="1765"/>
      <c r="H166" s="1765"/>
      <c r="I166" s="1765"/>
      <c r="J166" s="1766"/>
      <c r="K166" s="1773"/>
      <c r="L166" s="1771"/>
      <c r="M166" s="1771"/>
      <c r="N166" s="1771"/>
      <c r="O166" s="1771"/>
      <c r="P166" s="1772"/>
      <c r="Q166" s="1777" t="s">
        <v>5017</v>
      </c>
      <c r="R166" s="1777"/>
      <c r="S166" s="1777"/>
      <c r="T166" s="1777"/>
      <c r="U166" s="1777"/>
      <c r="V166" s="1777"/>
      <c r="W166" s="1777"/>
      <c r="X166" s="1777"/>
      <c r="Y166" s="1685" t="s">
        <v>5025</v>
      </c>
      <c r="Z166" s="1685"/>
      <c r="AA166" s="1685"/>
      <c r="AB166" s="1685"/>
      <c r="AC166" s="1685" t="s">
        <v>5025</v>
      </c>
      <c r="AD166" s="1685"/>
      <c r="AE166" s="1685"/>
      <c r="AF166" s="1685"/>
      <c r="AG166" s="633"/>
      <c r="AH166" s="126"/>
      <c r="AI166" s="126"/>
      <c r="AJ166" s="126"/>
      <c r="AK166" s="126"/>
      <c r="AL166" s="126"/>
      <c r="AM166" s="126"/>
      <c r="AN166" s="126"/>
      <c r="AO166" s="126"/>
      <c r="AP166" s="126"/>
      <c r="AQ166" s="126"/>
      <c r="AR166" s="126"/>
      <c r="AS166" s="126"/>
      <c r="AT166" s="938"/>
      <c r="AU166" s="171"/>
      <c r="BZ166" s="11"/>
      <c r="CA166" s="89"/>
      <c r="CB166" s="152"/>
      <c r="CC166" s="4"/>
      <c r="CD166" s="108"/>
      <c r="CE166" s="108"/>
      <c r="CF166" s="108"/>
      <c r="CH166" s="49" t="s">
        <v>41</v>
      </c>
      <c r="CI166" s="49"/>
      <c r="CJ166" s="49"/>
      <c r="CK166" s="49"/>
      <c r="CL166" s="49"/>
      <c r="CM166" s="49"/>
      <c r="CN166" s="49"/>
      <c r="CO166" s="83" t="s">
        <v>40</v>
      </c>
      <c r="CP166" s="84"/>
      <c r="CQ166" s="2"/>
      <c r="CR166" s="45"/>
      <c r="CS166" s="45"/>
      <c r="CT166" s="45"/>
      <c r="CU166" s="45"/>
      <c r="CV166" s="10"/>
      <c r="CX166" s="32"/>
      <c r="CZ166" s="64"/>
      <c r="DE166" s="32"/>
      <c r="DX166" s="85"/>
      <c r="DY166" s="85"/>
    </row>
    <row r="167" spans="1:129" ht="19.5" customHeight="1" thickBot="1">
      <c r="A167" s="354"/>
      <c r="B167" s="181"/>
      <c r="C167" s="1767"/>
      <c r="D167" s="1768"/>
      <c r="E167" s="1768"/>
      <c r="F167" s="1768"/>
      <c r="G167" s="1768"/>
      <c r="H167" s="1768"/>
      <c r="I167" s="1768"/>
      <c r="J167" s="1769"/>
      <c r="K167" s="1774"/>
      <c r="L167" s="1775"/>
      <c r="M167" s="1775"/>
      <c r="N167" s="1775"/>
      <c r="O167" s="1775"/>
      <c r="P167" s="1776"/>
      <c r="Q167" s="1778" t="s">
        <v>5018</v>
      </c>
      <c r="R167" s="1778"/>
      <c r="S167" s="1778"/>
      <c r="T167" s="1778"/>
      <c r="U167" s="1778"/>
      <c r="V167" s="1778"/>
      <c r="W167" s="1778"/>
      <c r="X167" s="1778"/>
      <c r="Y167" s="1760" t="s">
        <v>5025</v>
      </c>
      <c r="Z167" s="1760"/>
      <c r="AA167" s="1760"/>
      <c r="AB167" s="1760"/>
      <c r="AC167" s="1760" t="s">
        <v>5025</v>
      </c>
      <c r="AD167" s="1760"/>
      <c r="AE167" s="1760"/>
      <c r="AF167" s="1760"/>
      <c r="AG167" s="939"/>
      <c r="AH167" s="940"/>
      <c r="AI167" s="940"/>
      <c r="AJ167" s="940"/>
      <c r="AK167" s="940"/>
      <c r="AL167" s="940"/>
      <c r="AM167" s="940"/>
      <c r="AN167" s="940"/>
      <c r="AO167" s="940"/>
      <c r="AP167" s="940"/>
      <c r="AQ167" s="940"/>
      <c r="AR167" s="940"/>
      <c r="AS167" s="940"/>
      <c r="AT167" s="941"/>
      <c r="AU167" s="171"/>
      <c r="BZ167" s="11"/>
      <c r="CA167" s="89"/>
      <c r="CB167" s="152"/>
      <c r="CC167" s="4"/>
      <c r="CD167" s="108"/>
      <c r="CE167" s="108"/>
      <c r="CF167" s="108"/>
      <c r="CH167" s="49" t="s">
        <v>39</v>
      </c>
      <c r="CI167" s="49"/>
      <c r="CJ167" s="49"/>
      <c r="CK167" s="49"/>
      <c r="CL167" s="49"/>
      <c r="CM167" s="49"/>
      <c r="CN167" s="49"/>
      <c r="CO167" s="83" t="s">
        <v>38</v>
      </c>
      <c r="CP167" s="84"/>
      <c r="CQ167" s="2"/>
      <c r="CR167" s="45"/>
      <c r="CS167" s="45"/>
      <c r="CT167" s="45"/>
      <c r="CU167" s="45"/>
      <c r="CV167" s="10"/>
      <c r="CX167" s="32"/>
      <c r="CZ167" s="64"/>
      <c r="DE167" s="32"/>
      <c r="DX167" s="85"/>
      <c r="DY167" s="85"/>
    </row>
    <row r="168" spans="1:129" ht="19.5" customHeight="1" thickTop="1">
      <c r="A168" s="111"/>
      <c r="B168" s="181"/>
      <c r="C168" s="134"/>
      <c r="D168" s="134"/>
      <c r="E168" s="134"/>
      <c r="F168" s="134"/>
      <c r="G168" s="134"/>
      <c r="H168" s="134"/>
      <c r="I168" s="134"/>
      <c r="J168" s="134"/>
      <c r="K168" s="134"/>
      <c r="L168" s="155"/>
      <c r="M168" s="155"/>
      <c r="N168" s="155"/>
      <c r="O168" s="185"/>
      <c r="P168" s="185"/>
      <c r="Q168" s="156"/>
      <c r="R168" s="156"/>
      <c r="S168" s="156"/>
      <c r="T168" s="156"/>
      <c r="U168" s="156"/>
      <c r="V168" s="156"/>
      <c r="W168" s="156"/>
      <c r="X168" s="156"/>
      <c r="Y168" s="157"/>
      <c r="Z168" s="157"/>
      <c r="AA168" s="157"/>
      <c r="AB168" s="157"/>
      <c r="AC168" s="157"/>
      <c r="AD168" s="157"/>
      <c r="AE168" s="157"/>
      <c r="AF168" s="157"/>
      <c r="AG168" s="156"/>
      <c r="AH168" s="156"/>
      <c r="AI168" s="156"/>
      <c r="AJ168" s="156"/>
      <c r="AK168" s="184"/>
      <c r="AL168" s="184"/>
      <c r="AM168" s="158"/>
      <c r="AN168" s="158"/>
      <c r="AO168" s="184"/>
      <c r="AP168" s="184"/>
      <c r="AQ168" s="184"/>
      <c r="AR168" s="184"/>
      <c r="AS168" s="184"/>
      <c r="AT168" s="184"/>
      <c r="AU168" s="171"/>
      <c r="BZ168" s="2"/>
      <c r="CA168" s="89"/>
      <c r="CB168" s="152"/>
      <c r="CC168" s="4"/>
      <c r="CD168" s="108"/>
      <c r="CE168" s="108"/>
      <c r="CF168" s="108"/>
      <c r="CH168" s="49" t="s">
        <v>37</v>
      </c>
      <c r="CI168" s="49"/>
      <c r="CJ168" s="49"/>
      <c r="CK168" s="49"/>
      <c r="CL168" s="49"/>
      <c r="CM168" s="49"/>
      <c r="CN168" s="49"/>
      <c r="CO168" s="83" t="s">
        <v>36</v>
      </c>
      <c r="CP168" s="84"/>
      <c r="CQ168" s="2"/>
      <c r="CR168" s="45"/>
      <c r="CS168" s="45"/>
      <c r="CT168" s="45"/>
      <c r="CU168" s="45"/>
      <c r="CV168" s="10"/>
      <c r="DE168" s="32"/>
      <c r="DX168" s="85"/>
      <c r="DY168" s="85"/>
    </row>
    <row r="169" spans="1:129" ht="19.5" hidden="1" customHeight="1">
      <c r="A169" s="354" t="s">
        <v>1234</v>
      </c>
      <c r="B169" s="181"/>
      <c r="C169" s="134"/>
      <c r="D169" s="134"/>
      <c r="E169" s="134"/>
      <c r="F169" s="134"/>
      <c r="G169" s="134"/>
      <c r="H169" s="134"/>
      <c r="I169" s="134"/>
      <c r="J169" s="134"/>
      <c r="K169" s="134"/>
      <c r="L169" s="155"/>
      <c r="M169" s="155"/>
      <c r="N169" s="155"/>
      <c r="O169" s="185"/>
      <c r="P169" s="185"/>
      <c r="Q169" s="156"/>
      <c r="R169" s="156"/>
      <c r="S169" s="156"/>
      <c r="T169" s="156"/>
      <c r="U169" s="156"/>
      <c r="V169" s="156"/>
      <c r="W169" s="156"/>
      <c r="X169" s="156"/>
      <c r="Y169" s="157"/>
      <c r="Z169" s="157"/>
      <c r="AA169" s="157"/>
      <c r="AB169" s="157"/>
      <c r="AC169" s="157"/>
      <c r="AD169" s="157"/>
      <c r="AE169" s="157"/>
      <c r="AF169" s="157"/>
      <c r="AG169" s="156"/>
      <c r="AH169" s="156"/>
      <c r="AI169" s="156"/>
      <c r="AJ169" s="156"/>
      <c r="AK169" s="184"/>
      <c r="AL169" s="184"/>
      <c r="AM169" s="158"/>
      <c r="AN169" s="158"/>
      <c r="AO169" s="184"/>
      <c r="AP169" s="184"/>
      <c r="AQ169" s="184"/>
      <c r="AR169" s="184"/>
      <c r="AS169" s="184"/>
      <c r="AT169" s="184"/>
      <c r="AU169" s="171"/>
      <c r="BZ169" s="11"/>
      <c r="CA169" s="89"/>
      <c r="CB169" s="152"/>
      <c r="CC169" s="4"/>
      <c r="CD169" s="108"/>
      <c r="CE169" s="108"/>
      <c r="CF169" s="108"/>
      <c r="CH169" s="49" t="s">
        <v>35</v>
      </c>
      <c r="CI169" s="49"/>
      <c r="CJ169" s="49"/>
      <c r="CK169" s="49"/>
      <c r="CL169" s="49"/>
      <c r="CM169" s="49"/>
      <c r="CN169" s="49"/>
      <c r="CO169" s="83" t="s">
        <v>34</v>
      </c>
      <c r="CP169" s="84"/>
      <c r="CQ169" s="2"/>
      <c r="CR169" s="45"/>
      <c r="CS169" s="45"/>
      <c r="CT169" s="45"/>
      <c r="CU169" s="45"/>
      <c r="CV169" s="10"/>
      <c r="DE169" s="32"/>
      <c r="DX169" s="85"/>
      <c r="DY169" s="85"/>
    </row>
    <row r="170" spans="1:129" ht="19.5" hidden="1" customHeight="1">
      <c r="A170" s="354" t="s">
        <v>1234</v>
      </c>
      <c r="B170" s="181"/>
      <c r="C170" s="134"/>
      <c r="D170" s="134"/>
      <c r="E170" s="134"/>
      <c r="F170" s="134"/>
      <c r="G170" s="134"/>
      <c r="H170" s="134"/>
      <c r="I170" s="134"/>
      <c r="J170" s="134"/>
      <c r="K170" s="134"/>
      <c r="L170" s="155"/>
      <c r="M170" s="155"/>
      <c r="N170" s="155"/>
      <c r="O170" s="185"/>
      <c r="P170" s="185"/>
      <c r="Q170" s="156"/>
      <c r="R170" s="156"/>
      <c r="S170" s="156"/>
      <c r="T170" s="156"/>
      <c r="U170" s="156"/>
      <c r="V170" s="156"/>
      <c r="W170" s="156"/>
      <c r="X170" s="156"/>
      <c r="Y170" s="157"/>
      <c r="Z170" s="157"/>
      <c r="AA170" s="157"/>
      <c r="AB170" s="157"/>
      <c r="AC170" s="157"/>
      <c r="AD170" s="157"/>
      <c r="AE170" s="157"/>
      <c r="AF170" s="157"/>
      <c r="AG170" s="156"/>
      <c r="AH170" s="156"/>
      <c r="AI170" s="156"/>
      <c r="AJ170" s="156"/>
      <c r="AK170" s="184"/>
      <c r="AL170" s="184"/>
      <c r="AM170" s="158"/>
      <c r="AN170" s="158"/>
      <c r="AO170" s="184"/>
      <c r="AP170" s="184"/>
      <c r="AQ170" s="184"/>
      <c r="AR170" s="184"/>
      <c r="AS170" s="184"/>
      <c r="AT170" s="184"/>
      <c r="AU170" s="171"/>
      <c r="BZ170" s="2"/>
      <c r="CA170" s="89"/>
      <c r="CB170" s="152"/>
      <c r="CC170" s="4"/>
      <c r="CD170" s="108"/>
      <c r="CE170" s="108"/>
      <c r="CF170" s="108"/>
      <c r="CH170" s="49" t="s">
        <v>640</v>
      </c>
      <c r="CI170" s="49"/>
      <c r="CJ170" s="49"/>
      <c r="CK170" s="49"/>
      <c r="CL170" s="49"/>
      <c r="CM170" s="49"/>
      <c r="CN170" s="49"/>
      <c r="CO170" s="83" t="s">
        <v>33</v>
      </c>
      <c r="CP170" s="84"/>
      <c r="CQ170" s="2"/>
      <c r="CR170" s="45"/>
      <c r="CS170" s="45"/>
      <c r="CT170" s="45"/>
      <c r="CU170" s="45"/>
      <c r="CV170" s="10"/>
      <c r="DE170" s="32"/>
      <c r="DX170" s="85"/>
      <c r="DY170" s="85"/>
    </row>
    <row r="171" spans="1:129" ht="19.5" hidden="1" customHeight="1">
      <c r="A171" s="354" t="s">
        <v>1234</v>
      </c>
      <c r="B171" s="181"/>
      <c r="C171" s="134"/>
      <c r="D171" s="134"/>
      <c r="E171" s="134"/>
      <c r="F171" s="134"/>
      <c r="G171" s="134"/>
      <c r="H171" s="134"/>
      <c r="I171" s="134"/>
      <c r="J171" s="134"/>
      <c r="K171" s="134"/>
      <c r="L171" s="155"/>
      <c r="M171" s="155"/>
      <c r="N171" s="155"/>
      <c r="O171" s="185"/>
      <c r="P171" s="185"/>
      <c r="Q171" s="156"/>
      <c r="R171" s="156"/>
      <c r="S171" s="156"/>
      <c r="T171" s="156"/>
      <c r="U171" s="156"/>
      <c r="V171" s="156"/>
      <c r="W171" s="156"/>
      <c r="X171" s="156"/>
      <c r="Y171" s="157"/>
      <c r="Z171" s="157"/>
      <c r="AA171" s="157"/>
      <c r="AB171" s="157"/>
      <c r="AC171" s="157"/>
      <c r="AD171" s="157"/>
      <c r="AE171" s="157"/>
      <c r="AF171" s="157"/>
      <c r="AG171" s="156"/>
      <c r="AH171" s="156"/>
      <c r="AI171" s="156"/>
      <c r="AJ171" s="156"/>
      <c r="AK171" s="184"/>
      <c r="AL171" s="184"/>
      <c r="AM171" s="158"/>
      <c r="AN171" s="158"/>
      <c r="AO171" s="184"/>
      <c r="AP171" s="184"/>
      <c r="AQ171" s="184"/>
      <c r="AR171" s="184"/>
      <c r="AS171" s="184"/>
      <c r="AT171" s="184"/>
      <c r="AU171" s="171"/>
      <c r="BZ171" s="2"/>
      <c r="CA171" s="89"/>
      <c r="CB171" s="152"/>
      <c r="CC171" s="4"/>
      <c r="CD171" s="108"/>
      <c r="CE171" s="108"/>
      <c r="CF171" s="108"/>
      <c r="CH171" s="49" t="s">
        <v>32</v>
      </c>
      <c r="CI171" s="49"/>
      <c r="CJ171" s="49"/>
      <c r="CK171" s="49"/>
      <c r="CL171" s="49"/>
      <c r="CM171" s="49"/>
      <c r="CN171" s="49"/>
      <c r="CO171" s="83" t="s">
        <v>31</v>
      </c>
      <c r="CP171" s="84"/>
      <c r="CQ171" s="2"/>
      <c r="CR171" s="45"/>
      <c r="CS171" s="45"/>
      <c r="CT171" s="45"/>
      <c r="CU171" s="45"/>
      <c r="CV171" s="10"/>
      <c r="DE171" s="32"/>
      <c r="DX171" s="85"/>
      <c r="DY171" s="85"/>
    </row>
    <row r="172" spans="1:129" ht="19.5" customHeight="1">
      <c r="B172" s="181"/>
      <c r="C172" s="134"/>
      <c r="D172" s="134"/>
      <c r="E172" s="134"/>
      <c r="F172" s="134"/>
      <c r="G172" s="134"/>
      <c r="H172" s="134"/>
      <c r="I172" s="134"/>
      <c r="J172" s="134"/>
      <c r="K172" s="134"/>
      <c r="L172" s="155"/>
      <c r="M172" s="155"/>
      <c r="N172" s="155"/>
      <c r="O172" s="185"/>
      <c r="P172" s="185"/>
      <c r="Q172" s="156"/>
      <c r="R172" s="156"/>
      <c r="S172" s="156"/>
      <c r="T172" s="156"/>
      <c r="U172" s="156"/>
      <c r="V172" s="156"/>
      <c r="W172" s="156"/>
      <c r="X172" s="156"/>
      <c r="Y172" s="157"/>
      <c r="Z172" s="157"/>
      <c r="AA172" s="157"/>
      <c r="AB172" s="157"/>
      <c r="AC172" s="157"/>
      <c r="AD172" s="157"/>
      <c r="AE172" s="157"/>
      <c r="AF172" s="157"/>
      <c r="AG172" s="156"/>
      <c r="AH172" s="156"/>
      <c r="AI172" s="156"/>
      <c r="AJ172" s="156"/>
      <c r="AK172" s="184"/>
      <c r="AL172" s="184"/>
      <c r="AM172" s="158"/>
      <c r="AN172" s="158"/>
      <c r="AO172" s="184"/>
      <c r="AP172" s="184"/>
      <c r="AQ172" s="184"/>
      <c r="AR172" s="184"/>
      <c r="AS172" s="184"/>
      <c r="AT172" s="184"/>
      <c r="AU172" s="171"/>
      <c r="BZ172" s="2"/>
      <c r="CA172" s="89"/>
      <c r="CB172" s="152"/>
      <c r="CC172" s="4"/>
      <c r="CD172" s="108"/>
      <c r="CE172" s="108"/>
      <c r="CF172" s="108"/>
      <c r="CH172" s="49" t="s">
        <v>30</v>
      </c>
      <c r="CI172" s="49"/>
      <c r="CJ172" s="49"/>
      <c r="CK172" s="49"/>
      <c r="CL172" s="49"/>
      <c r="CM172" s="49"/>
      <c r="CN172" s="49"/>
      <c r="CO172" s="83" t="s">
        <v>29</v>
      </c>
      <c r="CP172" s="84"/>
      <c r="CQ172" s="2"/>
      <c r="CR172" s="45"/>
      <c r="CS172" s="45"/>
      <c r="CT172" s="45"/>
      <c r="CU172" s="45"/>
      <c r="CV172" s="10"/>
      <c r="DE172" s="32"/>
      <c r="DX172" s="85"/>
      <c r="DY172" s="85"/>
    </row>
    <row r="173" spans="1:129" ht="19.5" customHeight="1" thickBot="1">
      <c r="B173" s="181"/>
      <c r="C173" s="134"/>
      <c r="D173" s="134"/>
      <c r="E173" s="134"/>
      <c r="F173" s="134"/>
      <c r="G173" s="134"/>
      <c r="H173" s="134"/>
      <c r="I173" s="134"/>
      <c r="J173" s="134"/>
      <c r="K173" s="134"/>
      <c r="L173" s="155"/>
      <c r="M173" s="155"/>
      <c r="N173" s="155"/>
      <c r="O173" s="185"/>
      <c r="P173" s="185"/>
      <c r="Q173" s="156"/>
      <c r="R173" s="156"/>
      <c r="S173" s="156"/>
      <c r="T173" s="156"/>
      <c r="U173" s="156"/>
      <c r="V173" s="156"/>
      <c r="W173" s="156"/>
      <c r="X173" s="156"/>
      <c r="Y173" s="157"/>
      <c r="Z173" s="157"/>
      <c r="AA173" s="157"/>
      <c r="AB173" s="157"/>
      <c r="AC173" s="157"/>
      <c r="AD173" s="157"/>
      <c r="AE173" s="157"/>
      <c r="AF173" s="157"/>
      <c r="AG173" s="156"/>
      <c r="AH173" s="156"/>
      <c r="AI173" s="156"/>
      <c r="AJ173" s="156"/>
      <c r="AK173" s="184"/>
      <c r="AL173" s="184"/>
      <c r="AM173" s="158"/>
      <c r="AN173" s="158"/>
      <c r="AO173" s="184"/>
      <c r="AP173" s="184"/>
      <c r="AQ173" s="184"/>
      <c r="AR173" s="184"/>
      <c r="AS173" s="184"/>
      <c r="AT173" s="184"/>
      <c r="AU173" s="171"/>
      <c r="BZ173" s="2"/>
      <c r="CA173" s="89"/>
      <c r="CB173" s="152"/>
      <c r="CC173" s="4"/>
      <c r="CD173" s="108"/>
      <c r="CE173" s="108"/>
      <c r="CF173" s="108"/>
      <c r="CH173" s="49" t="s">
        <v>28</v>
      </c>
      <c r="CI173" s="49"/>
      <c r="CJ173" s="49"/>
      <c r="CK173" s="49"/>
      <c r="CL173" s="49"/>
      <c r="CM173" s="49"/>
      <c r="CN173" s="49"/>
      <c r="CO173" s="83" t="s">
        <v>551</v>
      </c>
      <c r="CP173" s="84"/>
      <c r="CQ173" s="2"/>
      <c r="CR173" s="45"/>
      <c r="CS173" s="45"/>
      <c r="CT173" s="45"/>
      <c r="CU173" s="45"/>
      <c r="CV173" s="10"/>
      <c r="DE173" s="32"/>
      <c r="DX173" s="85"/>
      <c r="DY173" s="85"/>
    </row>
    <row r="174" spans="1:129" ht="19.5" customHeight="1">
      <c r="B174" s="181"/>
      <c r="C174" s="1793" t="s">
        <v>5105</v>
      </c>
      <c r="D174" s="1794"/>
      <c r="E174" s="1794"/>
      <c r="F174" s="1794"/>
      <c r="G174" s="1794"/>
      <c r="H174" s="1794"/>
      <c r="I174" s="1794"/>
      <c r="J174" s="1795"/>
      <c r="K174" s="2481" t="s">
        <v>5106</v>
      </c>
      <c r="L174" s="2481"/>
      <c r="M174" s="2481"/>
      <c r="N174" s="2481"/>
      <c r="O174" s="2481"/>
      <c r="P174" s="2481"/>
      <c r="Q174" s="2481"/>
      <c r="R174" s="2481"/>
      <c r="S174" s="2481"/>
      <c r="T174" s="2481"/>
      <c r="U174" s="2481"/>
      <c r="V174" s="2481"/>
      <c r="W174" s="2481"/>
      <c r="X174" s="2481"/>
      <c r="Y174" s="2481"/>
      <c r="Z174" s="2481"/>
      <c r="AA174" s="2481"/>
      <c r="AB174" s="2481"/>
      <c r="AC174" s="2481"/>
      <c r="AD174" s="2481"/>
      <c r="AE174" s="2481"/>
      <c r="AF174" s="2481"/>
      <c r="AG174" s="2481"/>
      <c r="AH174" s="2481"/>
      <c r="AI174" s="2481"/>
      <c r="AJ174" s="2481"/>
      <c r="AK174" s="2481"/>
      <c r="AL174" s="2481"/>
      <c r="AM174" s="2481"/>
      <c r="AN174" s="2481"/>
      <c r="AO174" s="2481"/>
      <c r="AP174" s="2481"/>
      <c r="AQ174" s="2481"/>
      <c r="AR174" s="2481"/>
      <c r="AS174" s="2481"/>
      <c r="AT174" s="2482"/>
      <c r="AU174" s="171"/>
      <c r="BA174" s="20"/>
      <c r="BB174" s="20"/>
      <c r="BC174" s="20"/>
      <c r="BD174" s="20"/>
      <c r="BE174" s="20"/>
      <c r="BF174" s="20"/>
      <c r="BG174" s="20"/>
      <c r="BH174" s="20"/>
      <c r="BI174" s="20"/>
      <c r="BZ174" s="2"/>
      <c r="CA174" s="89"/>
      <c r="CB174" s="152"/>
      <c r="CD174" s="108"/>
      <c r="CE174" s="108"/>
      <c r="CF174" s="108"/>
      <c r="CH174" s="49" t="s">
        <v>27</v>
      </c>
      <c r="CI174" s="49"/>
      <c r="CJ174" s="49"/>
      <c r="CK174" s="49"/>
      <c r="CL174" s="49"/>
      <c r="CM174" s="49"/>
      <c r="CN174" s="49"/>
      <c r="CO174" s="83" t="s">
        <v>552</v>
      </c>
      <c r="CP174" s="84"/>
      <c r="CQ174" s="2"/>
      <c r="CR174" s="45"/>
      <c r="CS174" s="45"/>
      <c r="CT174" s="45"/>
      <c r="CU174" s="45"/>
      <c r="CV174" s="10"/>
      <c r="DE174" s="32"/>
      <c r="DX174" s="85"/>
      <c r="DY174" s="85"/>
    </row>
    <row r="175" spans="1:129" ht="19.5" customHeight="1">
      <c r="B175" s="181"/>
      <c r="C175" s="2480"/>
      <c r="D175" s="1513"/>
      <c r="E175" s="1513"/>
      <c r="F175" s="1513"/>
      <c r="G175" s="1513"/>
      <c r="H175" s="1513"/>
      <c r="I175" s="1513"/>
      <c r="J175" s="1514"/>
      <c r="K175" s="2483" t="s">
        <v>5107</v>
      </c>
      <c r="L175" s="2483"/>
      <c r="M175" s="2483"/>
      <c r="N175" s="2483"/>
      <c r="O175" s="2483"/>
      <c r="P175" s="2483"/>
      <c r="Q175" s="2483"/>
      <c r="R175" s="2483"/>
      <c r="S175" s="2483"/>
      <c r="T175" s="2483"/>
      <c r="U175" s="2483"/>
      <c r="V175" s="2483"/>
      <c r="W175" s="2483"/>
      <c r="X175" s="2483"/>
      <c r="Y175" s="2483"/>
      <c r="Z175" s="2483"/>
      <c r="AA175" s="2483"/>
      <c r="AB175" s="2483"/>
      <c r="AC175" s="2483"/>
      <c r="AD175" s="2483"/>
      <c r="AE175" s="2483"/>
      <c r="AF175" s="2483"/>
      <c r="AG175" s="2483"/>
      <c r="AH175" s="2483"/>
      <c r="AI175" s="2483"/>
      <c r="AJ175" s="2483"/>
      <c r="AK175" s="2483"/>
      <c r="AL175" s="2483"/>
      <c r="AM175" s="2483"/>
      <c r="AN175" s="2483"/>
      <c r="AO175" s="2483"/>
      <c r="AP175" s="2483"/>
      <c r="AQ175" s="2483"/>
      <c r="AR175" s="2483"/>
      <c r="AS175" s="2483"/>
      <c r="AT175" s="2484"/>
      <c r="AU175" s="171"/>
      <c r="AV175" s="151" t="b">
        <v>1</v>
      </c>
      <c r="AX175" s="114" t="s">
        <v>2078</v>
      </c>
      <c r="AY175" s="114" t="s">
        <v>2275</v>
      </c>
      <c r="AZ175" s="114" t="s">
        <v>2276</v>
      </c>
      <c r="BA175" s="115" t="s">
        <v>2277</v>
      </c>
      <c r="BB175" s="115" t="s">
        <v>2278</v>
      </c>
      <c r="BC175" s="115" t="s">
        <v>2279</v>
      </c>
      <c r="BD175" s="115" t="s">
        <v>2280</v>
      </c>
      <c r="BE175" s="115" t="s">
        <v>2281</v>
      </c>
      <c r="BF175" s="115" t="s">
        <v>2282</v>
      </c>
      <c r="BG175" s="115" t="s">
        <v>2283</v>
      </c>
      <c r="BH175" s="115"/>
      <c r="BI175" s="115"/>
      <c r="BZ175" s="2"/>
      <c r="CA175" s="89"/>
      <c r="CB175" s="152"/>
      <c r="CD175" s="108"/>
      <c r="CE175" s="108"/>
      <c r="CF175" s="108"/>
      <c r="CH175" s="49" t="s">
        <v>26</v>
      </c>
      <c r="CI175" s="49"/>
      <c r="CJ175" s="49"/>
      <c r="CK175" s="49"/>
      <c r="CL175" s="49"/>
      <c r="CM175" s="49"/>
      <c r="CN175" s="49"/>
      <c r="CO175" s="83" t="s">
        <v>553</v>
      </c>
      <c r="CP175" s="84"/>
      <c r="CQ175" s="2"/>
      <c r="CR175" s="45"/>
      <c r="CS175" s="45"/>
      <c r="CT175" s="45"/>
      <c r="CU175" s="45"/>
      <c r="CV175" s="10"/>
      <c r="DE175" s="32"/>
      <c r="DX175" s="85"/>
      <c r="DY175" s="85"/>
    </row>
    <row r="176" spans="1:129" ht="19.5" customHeight="1" thickBot="1">
      <c r="B176" s="181"/>
      <c r="C176" s="996"/>
      <c r="D176" s="997"/>
      <c r="E176" s="997"/>
      <c r="F176" s="997"/>
      <c r="G176" s="997"/>
      <c r="H176" s="997"/>
      <c r="I176" s="997"/>
      <c r="J176" s="998"/>
      <c r="K176" s="1758" t="s">
        <v>5108</v>
      </c>
      <c r="L176" s="1758"/>
      <c r="M176" s="1758"/>
      <c r="N176" s="1758"/>
      <c r="O176" s="1758"/>
      <c r="P176" s="1758"/>
      <c r="Q176" s="1758"/>
      <c r="R176" s="1758"/>
      <c r="S176" s="1758"/>
      <c r="T176" s="1758"/>
      <c r="U176" s="1758"/>
      <c r="V176" s="1758"/>
      <c r="W176" s="1758"/>
      <c r="X176" s="1758"/>
      <c r="Y176" s="1758"/>
      <c r="Z176" s="1758"/>
      <c r="AA176" s="1758"/>
      <c r="AB176" s="1758"/>
      <c r="AC176" s="1758"/>
      <c r="AD176" s="1758"/>
      <c r="AE176" s="1758"/>
      <c r="AF176" s="1758"/>
      <c r="AG176" s="1758"/>
      <c r="AH176" s="1758"/>
      <c r="AI176" s="1758"/>
      <c r="AJ176" s="1758"/>
      <c r="AK176" s="1758"/>
      <c r="AL176" s="1758"/>
      <c r="AM176" s="1758"/>
      <c r="AN176" s="1758"/>
      <c r="AO176" s="1758"/>
      <c r="AP176" s="1758"/>
      <c r="AQ176" s="1758"/>
      <c r="AR176" s="1758"/>
      <c r="AS176" s="1758"/>
      <c r="AT176" s="1759"/>
      <c r="AU176" s="171"/>
      <c r="AX176" s="539" t="s">
        <v>2072</v>
      </c>
      <c r="AY176" s="638" t="s">
        <v>2284</v>
      </c>
      <c r="AZ176" s="638" t="s">
        <v>2283</v>
      </c>
      <c r="BA176" s="639" t="s">
        <v>2285</v>
      </c>
      <c r="BB176" s="639" t="s">
        <v>2286</v>
      </c>
      <c r="BC176" s="638" t="s">
        <v>2287</v>
      </c>
      <c r="BD176" s="639" t="s">
        <v>2276</v>
      </c>
      <c r="BE176" s="540" t="s">
        <v>2281</v>
      </c>
      <c r="BF176" s="639" t="s">
        <v>2079</v>
      </c>
      <c r="BG176" s="638" t="s">
        <v>2289</v>
      </c>
      <c r="BH176" s="541" t="s">
        <v>2290</v>
      </c>
      <c r="BI176" s="541" t="s">
        <v>2080</v>
      </c>
      <c r="BZ176" s="2"/>
      <c r="CA176" s="89"/>
      <c r="CB176" s="152"/>
      <c r="CD176" s="108"/>
      <c r="CE176" s="108"/>
      <c r="CF176" s="108"/>
      <c r="CH176" s="49" t="s">
        <v>25</v>
      </c>
      <c r="CI176" s="49"/>
      <c r="CJ176" s="49"/>
      <c r="CK176" s="49"/>
      <c r="CL176" s="49"/>
      <c r="CM176" s="49"/>
      <c r="CN176" s="49"/>
      <c r="CO176" s="83" t="s">
        <v>554</v>
      </c>
      <c r="CP176" s="84"/>
      <c r="CQ176" s="2"/>
      <c r="CR176" s="45"/>
      <c r="CS176" s="45"/>
      <c r="CT176" s="45"/>
      <c r="CU176" s="45"/>
      <c r="CV176" s="10"/>
      <c r="DE176" s="32"/>
      <c r="DX176" s="85"/>
      <c r="DY176" s="85"/>
    </row>
    <row r="177" spans="2:129" ht="19.5" customHeight="1">
      <c r="B177" s="181"/>
      <c r="C177" s="134"/>
      <c r="D177" s="134"/>
      <c r="E177" s="134"/>
      <c r="F177" s="134"/>
      <c r="G177" s="134"/>
      <c r="H177" s="134"/>
      <c r="I177" s="134"/>
      <c r="J177" s="134"/>
      <c r="K177" s="134"/>
      <c r="L177" s="155"/>
      <c r="M177" s="155"/>
      <c r="N177" s="155"/>
      <c r="O177" s="185"/>
      <c r="P177" s="185"/>
      <c r="Q177" s="156"/>
      <c r="R177" s="156"/>
      <c r="S177" s="156"/>
      <c r="T177" s="156"/>
      <c r="U177" s="156"/>
      <c r="V177" s="156"/>
      <c r="W177" s="156"/>
      <c r="X177" s="156"/>
      <c r="Y177" s="157"/>
      <c r="Z177" s="157"/>
      <c r="AA177" s="157"/>
      <c r="AB177" s="157"/>
      <c r="AC177" s="157"/>
      <c r="AD177" s="157"/>
      <c r="AE177" s="157"/>
      <c r="AF177" s="157"/>
      <c r="AG177" s="156"/>
      <c r="AH177" s="156"/>
      <c r="AI177" s="156"/>
      <c r="AJ177" s="156"/>
      <c r="AK177" s="184"/>
      <c r="AL177" s="184"/>
      <c r="AM177" s="158"/>
      <c r="AN177" s="158"/>
      <c r="AO177" s="184"/>
      <c r="AP177" s="184"/>
      <c r="AQ177" s="184"/>
      <c r="AR177" s="184"/>
      <c r="AS177" s="184"/>
      <c r="AT177" s="184"/>
      <c r="AU177" s="171"/>
      <c r="AX177" s="636" t="s">
        <v>2073</v>
      </c>
      <c r="AY177" s="636" t="s">
        <v>2073</v>
      </c>
      <c r="AZ177" s="636" t="s">
        <v>2073</v>
      </c>
      <c r="BA177" s="636" t="s">
        <v>2073</v>
      </c>
      <c r="BB177" s="636" t="s">
        <v>2073</v>
      </c>
      <c r="BC177" s="636" t="s">
        <v>2073</v>
      </c>
      <c r="BD177" s="543" t="s">
        <v>2073</v>
      </c>
      <c r="BE177" s="114" t="s">
        <v>2073</v>
      </c>
      <c r="BF177" s="636" t="s">
        <v>2073</v>
      </c>
      <c r="BG177" s="636" t="s">
        <v>2073</v>
      </c>
      <c r="BH177" s="543" t="s">
        <v>2073</v>
      </c>
      <c r="BI177" s="640" t="s">
        <v>2073</v>
      </c>
      <c r="BZ177" s="2"/>
      <c r="CA177" s="89"/>
      <c r="CB177" s="152"/>
      <c r="CD177" s="108"/>
      <c r="CE177" s="108"/>
      <c r="CF177" s="108"/>
      <c r="CH177" s="49" t="s">
        <v>641</v>
      </c>
      <c r="CI177" s="49"/>
      <c r="CJ177" s="49"/>
      <c r="CK177" s="49"/>
      <c r="CL177" s="49"/>
      <c r="CM177" s="49"/>
      <c r="CN177" s="49"/>
      <c r="CO177" s="83" t="s">
        <v>561</v>
      </c>
      <c r="CP177" s="84"/>
      <c r="CQ177" s="2"/>
      <c r="CR177" s="45"/>
      <c r="CS177" s="45"/>
      <c r="CT177" s="45"/>
      <c r="CU177" s="45"/>
      <c r="CV177" s="10"/>
      <c r="DE177" s="32"/>
      <c r="DX177" s="85"/>
      <c r="DY177" s="85"/>
    </row>
    <row r="178" spans="2:129" ht="19.5" customHeight="1">
      <c r="B178" s="181"/>
      <c r="C178" s="134"/>
      <c r="D178" s="134"/>
      <c r="E178" s="134"/>
      <c r="F178" s="134"/>
      <c r="G178" s="134"/>
      <c r="H178" s="134"/>
      <c r="I178" s="134"/>
      <c r="J178" s="134"/>
      <c r="K178" s="134"/>
      <c r="L178" s="155"/>
      <c r="M178" s="155"/>
      <c r="N178" s="155"/>
      <c r="O178" s="185"/>
      <c r="P178" s="185"/>
      <c r="Q178" s="156"/>
      <c r="R178" s="156"/>
      <c r="S178" s="156"/>
      <c r="T178" s="156"/>
      <c r="U178" s="156"/>
      <c r="V178" s="156"/>
      <c r="W178" s="156"/>
      <c r="X178" s="156"/>
      <c r="Y178" s="157"/>
      <c r="Z178" s="157"/>
      <c r="AA178" s="157"/>
      <c r="AB178" s="157"/>
      <c r="AC178" s="157"/>
      <c r="AD178" s="157"/>
      <c r="AE178" s="157"/>
      <c r="AF178" s="157"/>
      <c r="AG178" s="156"/>
      <c r="AH178" s="156"/>
      <c r="AI178" s="156"/>
      <c r="AJ178" s="156"/>
      <c r="AK178" s="184"/>
      <c r="AL178" s="184"/>
      <c r="AM178" s="158"/>
      <c r="AN178" s="158"/>
      <c r="AO178" s="184"/>
      <c r="AP178" s="184"/>
      <c r="AQ178" s="184"/>
      <c r="AR178" s="184"/>
      <c r="AS178" s="184"/>
      <c r="AT178" s="184"/>
      <c r="AU178" s="171"/>
      <c r="AX178" s="544" t="s">
        <v>2265</v>
      </c>
      <c r="AY178" s="544" t="s">
        <v>2292</v>
      </c>
      <c r="AZ178" s="544" t="s">
        <v>2293</v>
      </c>
      <c r="BA178" s="546" t="s">
        <v>2294</v>
      </c>
      <c r="BB178" s="546" t="s">
        <v>2295</v>
      </c>
      <c r="BC178" s="546" t="s">
        <v>2296</v>
      </c>
      <c r="BD178" s="547" t="s">
        <v>2297</v>
      </c>
      <c r="BE178" s="115" t="s">
        <v>2298</v>
      </c>
      <c r="BF178" s="546" t="s">
        <v>2299</v>
      </c>
      <c r="BG178" s="546" t="s">
        <v>2300</v>
      </c>
      <c r="BH178" s="547" t="s">
        <v>2301</v>
      </c>
      <c r="BI178" s="115"/>
      <c r="BZ178" s="2"/>
      <c r="CA178" s="89"/>
      <c r="CB178" s="152"/>
      <c r="CD178" s="108"/>
      <c r="CE178" s="108"/>
      <c r="CF178" s="108"/>
      <c r="CH178" s="49" t="s">
        <v>580</v>
      </c>
      <c r="CI178" s="49"/>
      <c r="CJ178" s="49"/>
      <c r="CK178" s="49"/>
      <c r="CL178" s="49"/>
      <c r="CM178" s="49"/>
      <c r="CN178" s="49"/>
      <c r="CO178" s="83" t="s">
        <v>636</v>
      </c>
      <c r="CP178" s="84"/>
      <c r="CQ178" s="2"/>
      <c r="CR178" s="45"/>
      <c r="CS178" s="45"/>
      <c r="CT178" s="45"/>
      <c r="CU178" s="45"/>
      <c r="CV178" s="10"/>
      <c r="DE178" s="32"/>
      <c r="DX178" s="85"/>
      <c r="DY178" s="85"/>
    </row>
    <row r="179" spans="2:129" ht="19.5" customHeight="1">
      <c r="B179" s="181"/>
      <c r="C179" s="134"/>
      <c r="D179" s="134"/>
      <c r="E179" s="134"/>
      <c r="F179" s="134"/>
      <c r="G179" s="134"/>
      <c r="H179" s="134"/>
      <c r="I179" s="134"/>
      <c r="J179" s="134"/>
      <c r="K179" s="134"/>
      <c r="L179" s="155"/>
      <c r="M179" s="155"/>
      <c r="N179" s="155"/>
      <c r="O179" s="185"/>
      <c r="P179" s="185"/>
      <c r="Q179" s="156"/>
      <c r="R179" s="156"/>
      <c r="S179" s="156"/>
      <c r="T179" s="156"/>
      <c r="U179" s="156"/>
      <c r="V179" s="156"/>
      <c r="W179" s="156"/>
      <c r="X179" s="156"/>
      <c r="Y179" s="157"/>
      <c r="Z179" s="157"/>
      <c r="AA179" s="157"/>
      <c r="AB179" s="157"/>
      <c r="AC179" s="157"/>
      <c r="AD179" s="157"/>
      <c r="AE179" s="157"/>
      <c r="AF179" s="157"/>
      <c r="AG179" s="156"/>
      <c r="AH179" s="156"/>
      <c r="AI179" s="156"/>
      <c r="AJ179" s="156"/>
      <c r="AK179" s="184"/>
      <c r="AL179" s="184"/>
      <c r="AM179" s="158"/>
      <c r="AN179" s="158"/>
      <c r="AO179" s="184"/>
      <c r="AP179" s="184"/>
      <c r="AQ179" s="184"/>
      <c r="AR179" s="184"/>
      <c r="AS179" s="184"/>
      <c r="AT179" s="184"/>
      <c r="AU179" s="171"/>
      <c r="AX179" s="544" t="s">
        <v>2266</v>
      </c>
      <c r="AY179" s="544" t="s">
        <v>2302</v>
      </c>
      <c r="AZ179" s="544" t="s">
        <v>2303</v>
      </c>
      <c r="BA179" s="546" t="s">
        <v>2304</v>
      </c>
      <c r="BB179" s="546" t="s">
        <v>2305</v>
      </c>
      <c r="BC179" s="546" t="s">
        <v>2306</v>
      </c>
      <c r="BD179" s="547" t="s">
        <v>2307</v>
      </c>
      <c r="BE179" s="115" t="s">
        <v>2308</v>
      </c>
      <c r="BF179" s="546" t="s">
        <v>2309</v>
      </c>
      <c r="BG179" s="546" t="s">
        <v>2310</v>
      </c>
      <c r="BH179" s="547" t="s">
        <v>2311</v>
      </c>
      <c r="BI179" s="115"/>
      <c r="BZ179" s="2"/>
      <c r="CA179" s="89"/>
      <c r="CB179" s="152"/>
      <c r="CD179" s="108"/>
      <c r="CE179" s="108"/>
      <c r="CF179" s="108"/>
      <c r="CH179" s="42"/>
      <c r="CI179" s="42"/>
      <c r="CJ179" s="42"/>
      <c r="CK179" s="42"/>
      <c r="CO179" s="2"/>
      <c r="CP179" s="43"/>
      <c r="CQ179" s="2"/>
      <c r="CR179" s="45"/>
      <c r="CS179" s="45"/>
      <c r="CT179" s="45"/>
      <c r="CU179" s="45"/>
      <c r="CV179" s="10"/>
      <c r="DE179" s="32"/>
      <c r="DX179" s="85"/>
      <c r="DY179" s="85"/>
    </row>
    <row r="180" spans="2:129" ht="19.5" customHeight="1">
      <c r="B180" s="181"/>
      <c r="C180" s="160" t="s">
        <v>852</v>
      </c>
      <c r="D180" s="126"/>
      <c r="E180" s="126"/>
      <c r="F180" s="126"/>
      <c r="G180" s="126"/>
      <c r="H180" s="126"/>
      <c r="I180" s="126"/>
      <c r="J180" s="126"/>
      <c r="K180" s="126"/>
      <c r="L180" s="126"/>
      <c r="M180" s="126"/>
      <c r="N180" s="161"/>
      <c r="O180" s="161"/>
      <c r="P180" s="161"/>
      <c r="Q180" s="161"/>
      <c r="R180" s="161"/>
      <c r="S180" s="161"/>
      <c r="T180" s="161"/>
      <c r="U180" s="161"/>
      <c r="V180" s="161"/>
      <c r="W180" s="161"/>
      <c r="X180" s="161"/>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71"/>
      <c r="AX180" s="544" t="s">
        <v>2267</v>
      </c>
      <c r="AY180" s="544" t="s">
        <v>2312</v>
      </c>
      <c r="AZ180" s="637" t="s">
        <v>2313</v>
      </c>
      <c r="BA180" s="546" t="s">
        <v>2314</v>
      </c>
      <c r="BB180" s="548" t="s">
        <v>2315</v>
      </c>
      <c r="BC180" s="546" t="s">
        <v>2316</v>
      </c>
      <c r="BD180" s="547" t="s">
        <v>2317</v>
      </c>
      <c r="BE180" s="641" t="s">
        <v>2318</v>
      </c>
      <c r="BF180" s="546" t="s">
        <v>2319</v>
      </c>
      <c r="BG180" s="546" t="s">
        <v>2320</v>
      </c>
      <c r="BH180" s="547" t="s">
        <v>2321</v>
      </c>
      <c r="BI180" s="115"/>
      <c r="BZ180" s="2"/>
      <c r="CA180" s="89"/>
      <c r="CB180" s="152"/>
      <c r="CD180" s="108"/>
      <c r="CE180" s="108"/>
      <c r="CF180" s="108"/>
      <c r="CH180" s="42"/>
      <c r="CI180" s="42"/>
      <c r="CJ180" s="42"/>
      <c r="CK180" s="42"/>
      <c r="CO180" s="2"/>
      <c r="CP180" s="43"/>
      <c r="CQ180" s="2"/>
      <c r="CR180" s="45"/>
      <c r="CS180" s="45"/>
      <c r="CT180" s="45"/>
      <c r="CU180" s="45"/>
      <c r="CV180" s="10"/>
      <c r="DE180" s="32"/>
      <c r="DX180" s="85"/>
      <c r="DY180" s="85"/>
    </row>
    <row r="181" spans="2:129" ht="19.5" customHeight="1">
      <c r="B181" s="181"/>
      <c r="C181" s="1754" t="s">
        <v>943</v>
      </c>
      <c r="D181" s="1296"/>
      <c r="E181" s="1296"/>
      <c r="F181" s="1296"/>
      <c r="G181" s="1296"/>
      <c r="H181" s="1296"/>
      <c r="I181" s="1296"/>
      <c r="J181" s="1296"/>
      <c r="K181" s="1296"/>
      <c r="L181" s="1296"/>
      <c r="M181" s="1297"/>
      <c r="N181" s="1755" t="s">
        <v>1014</v>
      </c>
      <c r="O181" s="1755"/>
      <c r="P181" s="1755"/>
      <c r="Q181" s="1755"/>
      <c r="R181" s="1755" t="s">
        <v>3825</v>
      </c>
      <c r="S181" s="1755"/>
      <c r="T181" s="1755"/>
      <c r="U181" s="1755"/>
      <c r="V181" s="1756" t="s">
        <v>942</v>
      </c>
      <c r="W181" s="1756"/>
      <c r="X181" s="1756"/>
      <c r="Y181" s="1756"/>
      <c r="Z181" s="1756"/>
      <c r="AA181" s="1756"/>
      <c r="AB181" s="1756"/>
      <c r="AC181" s="1756"/>
      <c r="AD181" s="1756"/>
      <c r="AE181" s="1756"/>
      <c r="AF181" s="1756"/>
      <c r="AG181" s="1756"/>
      <c r="AH181" s="1756"/>
      <c r="AI181" s="1756"/>
      <c r="AJ181" s="1756"/>
      <c r="AK181" s="1756"/>
      <c r="AL181" s="1756"/>
      <c r="AM181" s="1756"/>
      <c r="AN181" s="1756"/>
      <c r="AO181" s="1756"/>
      <c r="AP181" s="1756"/>
      <c r="AQ181" s="1756"/>
      <c r="AR181" s="1756"/>
      <c r="AS181" s="1756"/>
      <c r="AT181" s="1757"/>
      <c r="AU181" s="171"/>
      <c r="AX181" s="544" t="s">
        <v>2268</v>
      </c>
      <c r="AY181" s="544" t="s">
        <v>2322</v>
      </c>
      <c r="AZ181" s="114"/>
      <c r="BA181" s="546" t="s">
        <v>2323</v>
      </c>
      <c r="BB181" s="115"/>
      <c r="BC181" s="546" t="s">
        <v>2324</v>
      </c>
      <c r="BD181" s="547" t="s">
        <v>2325</v>
      </c>
      <c r="BE181" s="115"/>
      <c r="BF181" s="546" t="s">
        <v>2326</v>
      </c>
      <c r="BG181" s="548" t="s">
        <v>2327</v>
      </c>
      <c r="BH181" s="547" t="s">
        <v>2328</v>
      </c>
      <c r="BI181" s="115"/>
      <c r="BZ181" s="2"/>
      <c r="CA181" s="4"/>
      <c r="CB181" s="152"/>
      <c r="CD181" s="108"/>
      <c r="CE181" s="108"/>
      <c r="CF181" s="108"/>
      <c r="CH181" s="42"/>
      <c r="CI181" s="42"/>
      <c r="CJ181" s="42"/>
      <c r="CK181" s="42"/>
      <c r="CO181" s="2"/>
      <c r="CP181" s="43"/>
      <c r="CQ181" s="2"/>
      <c r="CR181" s="45"/>
      <c r="CS181" s="45"/>
      <c r="CT181" s="45"/>
      <c r="CU181" s="45"/>
      <c r="CV181" s="10"/>
      <c r="DE181" s="32"/>
      <c r="DX181" s="85"/>
      <c r="DY181" s="85"/>
    </row>
    <row r="182" spans="2:129" ht="19.5" customHeight="1">
      <c r="B182" s="181"/>
      <c r="C182" s="2499" t="s">
        <v>3573</v>
      </c>
      <c r="D182" s="2500"/>
      <c r="E182" s="2500"/>
      <c r="F182" s="2500"/>
      <c r="G182" s="2500"/>
      <c r="H182" s="2500"/>
      <c r="I182" s="2500"/>
      <c r="J182" s="2500"/>
      <c r="K182" s="2500"/>
      <c r="L182" s="2500"/>
      <c r="M182" s="2500"/>
      <c r="N182" s="2501" t="s">
        <v>3826</v>
      </c>
      <c r="O182" s="2501"/>
      <c r="P182" s="2501"/>
      <c r="Q182" s="2501"/>
      <c r="R182" s="2501" t="s">
        <v>3826</v>
      </c>
      <c r="S182" s="2501"/>
      <c r="T182" s="2501"/>
      <c r="U182" s="2501"/>
      <c r="V182" s="2502" t="s">
        <v>3852</v>
      </c>
      <c r="W182" s="2503"/>
      <c r="X182" s="2503"/>
      <c r="Y182" s="2503"/>
      <c r="Z182" s="2503"/>
      <c r="AA182" s="2503"/>
      <c r="AB182" s="2503"/>
      <c r="AC182" s="2503"/>
      <c r="AD182" s="2503"/>
      <c r="AE182" s="2503"/>
      <c r="AF182" s="2503"/>
      <c r="AG182" s="2503"/>
      <c r="AH182" s="2503"/>
      <c r="AI182" s="2503"/>
      <c r="AJ182" s="2503"/>
      <c r="AK182" s="2503"/>
      <c r="AL182" s="2503"/>
      <c r="AM182" s="2503"/>
      <c r="AN182" s="2503"/>
      <c r="AO182" s="2503"/>
      <c r="AP182" s="2503"/>
      <c r="AQ182" s="2503"/>
      <c r="AR182" s="2503"/>
      <c r="AS182" s="2503"/>
      <c r="AT182" s="2503"/>
      <c r="AU182" s="171"/>
      <c r="AX182" s="544" t="s">
        <v>2269</v>
      </c>
      <c r="AY182" s="544" t="s">
        <v>2329</v>
      </c>
      <c r="AZ182" s="114"/>
      <c r="BA182" s="546" t="s">
        <v>2330</v>
      </c>
      <c r="BB182" s="115"/>
      <c r="BC182" s="548" t="s">
        <v>2331</v>
      </c>
      <c r="BD182" s="547" t="s">
        <v>2332</v>
      </c>
      <c r="BE182" s="115"/>
      <c r="BF182" s="547" t="s">
        <v>2333</v>
      </c>
      <c r="BG182" s="115"/>
      <c r="BH182" s="547" t="s">
        <v>2334</v>
      </c>
      <c r="BI182" s="115"/>
      <c r="CA182" s="4"/>
      <c r="CB182" s="152"/>
      <c r="CD182" s="108"/>
      <c r="CE182" s="108"/>
      <c r="CF182" s="108"/>
      <c r="CH182" s="42"/>
      <c r="CI182" s="42"/>
      <c r="CJ182" s="42"/>
      <c r="CK182" s="42"/>
      <c r="CO182" s="2"/>
      <c r="CP182" s="43"/>
      <c r="CQ182" s="2"/>
      <c r="CR182" s="45"/>
      <c r="CS182" s="45"/>
      <c r="CT182" s="45"/>
      <c r="CU182" s="45"/>
      <c r="CV182" s="10"/>
      <c r="DE182" s="32"/>
      <c r="DX182" s="85"/>
      <c r="DY182" s="85"/>
    </row>
    <row r="183" spans="2:129" ht="19.5" customHeight="1">
      <c r="B183" s="181"/>
      <c r="C183" s="2500"/>
      <c r="D183" s="2500"/>
      <c r="E183" s="2500"/>
      <c r="F183" s="2500"/>
      <c r="G183" s="2500"/>
      <c r="H183" s="2500"/>
      <c r="I183" s="2500"/>
      <c r="J183" s="2500"/>
      <c r="K183" s="2500"/>
      <c r="L183" s="2500"/>
      <c r="M183" s="2500"/>
      <c r="N183" s="2501"/>
      <c r="O183" s="2501"/>
      <c r="P183" s="2501"/>
      <c r="Q183" s="2501"/>
      <c r="R183" s="2501"/>
      <c r="S183" s="2501"/>
      <c r="T183" s="2501"/>
      <c r="U183" s="2501"/>
      <c r="V183" s="2503"/>
      <c r="W183" s="2503"/>
      <c r="X183" s="2503"/>
      <c r="Y183" s="2503"/>
      <c r="Z183" s="2503"/>
      <c r="AA183" s="2503"/>
      <c r="AB183" s="2503"/>
      <c r="AC183" s="2503"/>
      <c r="AD183" s="2503"/>
      <c r="AE183" s="2503"/>
      <c r="AF183" s="2503"/>
      <c r="AG183" s="2503"/>
      <c r="AH183" s="2503"/>
      <c r="AI183" s="2503"/>
      <c r="AJ183" s="2503"/>
      <c r="AK183" s="2503"/>
      <c r="AL183" s="2503"/>
      <c r="AM183" s="2503"/>
      <c r="AN183" s="2503"/>
      <c r="AO183" s="2503"/>
      <c r="AP183" s="2503"/>
      <c r="AQ183" s="2503"/>
      <c r="AR183" s="2503"/>
      <c r="AS183" s="2503"/>
      <c r="AT183" s="2503"/>
      <c r="AU183" s="171"/>
      <c r="AX183" s="544" t="s">
        <v>2270</v>
      </c>
      <c r="AY183" s="544" t="s">
        <v>2335</v>
      </c>
      <c r="AZ183" s="114"/>
      <c r="BA183" s="546" t="s">
        <v>2336</v>
      </c>
      <c r="BB183" s="115"/>
      <c r="BC183" s="115"/>
      <c r="BD183" s="547" t="s">
        <v>2337</v>
      </c>
      <c r="BE183" s="115"/>
      <c r="BF183" s="547" t="s">
        <v>2338</v>
      </c>
      <c r="BG183" s="115"/>
      <c r="BH183" s="547" t="s">
        <v>2339</v>
      </c>
      <c r="BI183" s="115"/>
      <c r="CA183" s="4"/>
      <c r="CB183" s="152"/>
      <c r="CD183" s="108"/>
      <c r="CE183" s="108"/>
      <c r="CF183" s="108"/>
      <c r="CH183" s="42"/>
      <c r="CI183" s="42"/>
      <c r="CJ183" s="42"/>
      <c r="CK183" s="42"/>
      <c r="CO183" s="2"/>
      <c r="CP183" s="43"/>
      <c r="CQ183" s="2"/>
      <c r="CR183" s="45"/>
      <c r="CS183" s="45"/>
      <c r="CT183" s="45"/>
      <c r="CU183" s="45"/>
      <c r="CV183" s="10"/>
      <c r="DE183" s="32"/>
      <c r="DX183" s="85"/>
      <c r="DY183" s="85"/>
    </row>
    <row r="184" spans="2:129" ht="19.5" customHeight="1">
      <c r="B184" s="181"/>
      <c r="C184" s="2499" t="s">
        <v>3828</v>
      </c>
      <c r="D184" s="2499"/>
      <c r="E184" s="2499"/>
      <c r="F184" s="2499"/>
      <c r="G184" s="2499"/>
      <c r="H184" s="2499"/>
      <c r="I184" s="2499"/>
      <c r="J184" s="2499"/>
      <c r="K184" s="2499"/>
      <c r="L184" s="2499"/>
      <c r="M184" s="2499"/>
      <c r="N184" s="2504" t="s">
        <v>3826</v>
      </c>
      <c r="O184" s="2504"/>
      <c r="P184" s="2504"/>
      <c r="Q184" s="2504"/>
      <c r="R184" s="2504" t="s">
        <v>3827</v>
      </c>
      <c r="S184" s="2504"/>
      <c r="T184" s="2504"/>
      <c r="U184" s="2504"/>
      <c r="V184" s="2503"/>
      <c r="W184" s="2503"/>
      <c r="X184" s="2503"/>
      <c r="Y184" s="2503"/>
      <c r="Z184" s="2503"/>
      <c r="AA184" s="2503"/>
      <c r="AB184" s="2503"/>
      <c r="AC184" s="2503"/>
      <c r="AD184" s="2503"/>
      <c r="AE184" s="2503"/>
      <c r="AF184" s="2503"/>
      <c r="AG184" s="2503"/>
      <c r="AH184" s="2503"/>
      <c r="AI184" s="2503"/>
      <c r="AJ184" s="2503"/>
      <c r="AK184" s="2503"/>
      <c r="AL184" s="2503"/>
      <c r="AM184" s="2503"/>
      <c r="AN184" s="2503"/>
      <c r="AO184" s="2503"/>
      <c r="AP184" s="2503"/>
      <c r="AQ184" s="2503"/>
      <c r="AR184" s="2503"/>
      <c r="AS184" s="2503"/>
      <c r="AT184" s="2503"/>
      <c r="AU184" s="171"/>
      <c r="AX184" s="544" t="s">
        <v>2271</v>
      </c>
      <c r="AY184" s="544" t="s">
        <v>2340</v>
      </c>
      <c r="AZ184" s="114"/>
      <c r="BA184" s="546" t="s">
        <v>2341</v>
      </c>
      <c r="BB184" s="115"/>
      <c r="BC184" s="115"/>
      <c r="BD184" s="547" t="s">
        <v>2342</v>
      </c>
      <c r="BE184" s="115"/>
      <c r="BF184" s="547" t="s">
        <v>2343</v>
      </c>
      <c r="BG184" s="115"/>
      <c r="BH184" s="547" t="s">
        <v>2344</v>
      </c>
      <c r="BI184" s="115"/>
      <c r="CA184" s="4"/>
      <c r="CB184" s="152"/>
      <c r="CD184" s="108"/>
      <c r="CE184" s="108"/>
      <c r="CF184" s="108"/>
      <c r="CH184" s="42"/>
      <c r="CI184" s="42"/>
      <c r="CJ184" s="42"/>
      <c r="CK184" s="42"/>
      <c r="CO184" s="2"/>
      <c r="CP184" s="43"/>
      <c r="CQ184" s="2"/>
      <c r="CR184" s="45"/>
      <c r="CS184" s="45"/>
      <c r="CT184" s="45"/>
      <c r="CU184" s="45"/>
      <c r="CV184" s="10"/>
      <c r="DE184" s="32"/>
      <c r="DX184" s="85"/>
      <c r="DY184" s="85"/>
    </row>
    <row r="185" spans="2:129" ht="19.5" customHeight="1">
      <c r="B185" s="181"/>
      <c r="C185" s="2499"/>
      <c r="D185" s="2499"/>
      <c r="E185" s="2499"/>
      <c r="F185" s="2499"/>
      <c r="G185" s="2499"/>
      <c r="H185" s="2499"/>
      <c r="I185" s="2499"/>
      <c r="J185" s="2499"/>
      <c r="K185" s="2499"/>
      <c r="L185" s="2499"/>
      <c r="M185" s="2499"/>
      <c r="N185" s="2504"/>
      <c r="O185" s="2504"/>
      <c r="P185" s="2504"/>
      <c r="Q185" s="2504"/>
      <c r="R185" s="2504"/>
      <c r="S185" s="2504"/>
      <c r="T185" s="2504"/>
      <c r="U185" s="2504"/>
      <c r="V185" s="2503"/>
      <c r="W185" s="2503"/>
      <c r="X185" s="2503"/>
      <c r="Y185" s="2503"/>
      <c r="Z185" s="2503"/>
      <c r="AA185" s="2503"/>
      <c r="AB185" s="2503"/>
      <c r="AC185" s="2503"/>
      <c r="AD185" s="2503"/>
      <c r="AE185" s="2503"/>
      <c r="AF185" s="2503"/>
      <c r="AG185" s="2503"/>
      <c r="AH185" s="2503"/>
      <c r="AI185" s="2503"/>
      <c r="AJ185" s="2503"/>
      <c r="AK185" s="2503"/>
      <c r="AL185" s="2503"/>
      <c r="AM185" s="2503"/>
      <c r="AN185" s="2503"/>
      <c r="AO185" s="2503"/>
      <c r="AP185" s="2503"/>
      <c r="AQ185" s="2503"/>
      <c r="AR185" s="2503"/>
      <c r="AS185" s="2503"/>
      <c r="AT185" s="2503"/>
      <c r="AU185" s="171"/>
      <c r="AX185" s="544" t="s">
        <v>2272</v>
      </c>
      <c r="AY185" s="544" t="s">
        <v>2345</v>
      </c>
      <c r="AZ185" s="114"/>
      <c r="BA185" s="546" t="s">
        <v>2346</v>
      </c>
      <c r="BB185" s="115"/>
      <c r="BC185" s="115"/>
      <c r="BD185" s="547" t="s">
        <v>2347</v>
      </c>
      <c r="BE185" s="115"/>
      <c r="BF185" s="547" t="s">
        <v>2348</v>
      </c>
      <c r="BG185" s="115"/>
      <c r="BH185" s="549" t="s">
        <v>2349</v>
      </c>
      <c r="BI185" s="115"/>
      <c r="CA185" s="4"/>
      <c r="CB185" s="152"/>
      <c r="CD185" s="108"/>
      <c r="CE185" s="108"/>
      <c r="CF185" s="108"/>
      <c r="CH185" s="42"/>
      <c r="CI185" s="42"/>
      <c r="CJ185" s="42"/>
      <c r="CK185" s="42"/>
      <c r="CO185" s="2"/>
      <c r="CP185" s="43"/>
      <c r="CQ185" s="2"/>
      <c r="CR185" s="45"/>
      <c r="CS185" s="45"/>
      <c r="CT185" s="45"/>
      <c r="CU185" s="45"/>
      <c r="CV185" s="10"/>
      <c r="DE185" s="32"/>
      <c r="DX185" s="85"/>
      <c r="DY185" s="85"/>
    </row>
    <row r="186" spans="2:129" ht="19.5" customHeight="1">
      <c r="B186" s="181"/>
      <c r="C186" s="2499"/>
      <c r="D186" s="2499"/>
      <c r="E186" s="2499"/>
      <c r="F186" s="2499"/>
      <c r="G186" s="2499"/>
      <c r="H186" s="2499"/>
      <c r="I186" s="2499"/>
      <c r="J186" s="2499"/>
      <c r="K186" s="2499"/>
      <c r="L186" s="2499"/>
      <c r="M186" s="2499"/>
      <c r="N186" s="2504"/>
      <c r="O186" s="2504"/>
      <c r="P186" s="2504"/>
      <c r="Q186" s="2504"/>
      <c r="R186" s="2504"/>
      <c r="S186" s="2504"/>
      <c r="T186" s="2504"/>
      <c r="U186" s="2504"/>
      <c r="V186" s="2503"/>
      <c r="W186" s="2503"/>
      <c r="X186" s="2503"/>
      <c r="Y186" s="2503"/>
      <c r="Z186" s="2503"/>
      <c r="AA186" s="2503"/>
      <c r="AB186" s="2503"/>
      <c r="AC186" s="2503"/>
      <c r="AD186" s="2503"/>
      <c r="AE186" s="2503"/>
      <c r="AF186" s="2503"/>
      <c r="AG186" s="2503"/>
      <c r="AH186" s="2503"/>
      <c r="AI186" s="2503"/>
      <c r="AJ186" s="2503"/>
      <c r="AK186" s="2503"/>
      <c r="AL186" s="2503"/>
      <c r="AM186" s="2503"/>
      <c r="AN186" s="2503"/>
      <c r="AO186" s="2503"/>
      <c r="AP186" s="2503"/>
      <c r="AQ186" s="2503"/>
      <c r="AR186" s="2503"/>
      <c r="AS186" s="2503"/>
      <c r="AT186" s="2503"/>
      <c r="AU186" s="171"/>
      <c r="AX186" s="544" t="s">
        <v>2273</v>
      </c>
      <c r="AY186" s="544" t="s">
        <v>2350</v>
      </c>
      <c r="AZ186" s="114"/>
      <c r="BA186" s="547" t="s">
        <v>2351</v>
      </c>
      <c r="BB186" s="115"/>
      <c r="BC186" s="115"/>
      <c r="BD186" s="547" t="s">
        <v>2352</v>
      </c>
      <c r="BE186" s="115"/>
      <c r="BF186" s="549" t="s">
        <v>2353</v>
      </c>
      <c r="BG186" s="115"/>
      <c r="BH186" s="115"/>
      <c r="BI186" s="115"/>
      <c r="CA186" s="4"/>
      <c r="CB186" s="152"/>
      <c r="CD186" s="108"/>
      <c r="CE186" s="108"/>
      <c r="CF186" s="108"/>
      <c r="CH186" s="42"/>
      <c r="CI186" s="42"/>
      <c r="CJ186" s="42"/>
      <c r="CK186" s="42"/>
      <c r="CO186" s="2"/>
      <c r="CP186" s="43"/>
      <c r="CQ186" s="2"/>
      <c r="CR186" s="45"/>
      <c r="CS186" s="45"/>
      <c r="CT186" s="45"/>
      <c r="CU186" s="45"/>
      <c r="CV186" s="10"/>
      <c r="DE186" s="32"/>
      <c r="DX186" s="85"/>
      <c r="DY186" s="85"/>
    </row>
    <row r="187" spans="2:129" ht="19.5" customHeight="1">
      <c r="B187" s="181"/>
      <c r="C187" s="2499"/>
      <c r="D187" s="2499"/>
      <c r="E187" s="2499"/>
      <c r="F187" s="2499"/>
      <c r="G187" s="2499"/>
      <c r="H187" s="2499"/>
      <c r="I187" s="2499"/>
      <c r="J187" s="2499"/>
      <c r="K187" s="2499"/>
      <c r="L187" s="2499"/>
      <c r="M187" s="2499"/>
      <c r="N187" s="2504"/>
      <c r="O187" s="2504"/>
      <c r="P187" s="2504"/>
      <c r="Q187" s="2504"/>
      <c r="R187" s="2504"/>
      <c r="S187" s="2504"/>
      <c r="T187" s="2504"/>
      <c r="U187" s="2504"/>
      <c r="V187" s="2503"/>
      <c r="W187" s="2503"/>
      <c r="X187" s="2503"/>
      <c r="Y187" s="2503"/>
      <c r="Z187" s="2503"/>
      <c r="AA187" s="2503"/>
      <c r="AB187" s="2503"/>
      <c r="AC187" s="2503"/>
      <c r="AD187" s="2503"/>
      <c r="AE187" s="2503"/>
      <c r="AF187" s="2503"/>
      <c r="AG187" s="2503"/>
      <c r="AH187" s="2503"/>
      <c r="AI187" s="2503"/>
      <c r="AJ187" s="2503"/>
      <c r="AK187" s="2503"/>
      <c r="AL187" s="2503"/>
      <c r="AM187" s="2503"/>
      <c r="AN187" s="2503"/>
      <c r="AO187" s="2503"/>
      <c r="AP187" s="2503"/>
      <c r="AQ187" s="2503"/>
      <c r="AR187" s="2503"/>
      <c r="AS187" s="2503"/>
      <c r="AT187" s="2503"/>
      <c r="AU187" s="171"/>
      <c r="AX187" s="637" t="s">
        <v>2274</v>
      </c>
      <c r="AY187" s="544" t="s">
        <v>2354</v>
      </c>
      <c r="AZ187" s="114"/>
      <c r="BA187" s="549" t="s">
        <v>2355</v>
      </c>
      <c r="BB187" s="115"/>
      <c r="BC187" s="115"/>
      <c r="BD187" s="547" t="s">
        <v>2356</v>
      </c>
      <c r="BE187" s="115"/>
      <c r="BF187" s="115"/>
      <c r="BG187" s="115"/>
      <c r="BH187" s="115"/>
      <c r="BI187" s="115"/>
      <c r="CA187" s="4"/>
      <c r="CB187" s="152"/>
      <c r="CD187" s="108"/>
      <c r="CE187" s="108"/>
      <c r="CF187" s="108"/>
      <c r="CH187" s="42"/>
      <c r="CI187" s="42"/>
      <c r="CJ187" s="42"/>
      <c r="CK187" s="42"/>
      <c r="CO187" s="2"/>
      <c r="CP187" s="43"/>
      <c r="CQ187" s="2"/>
      <c r="CR187" s="45"/>
      <c r="CS187" s="45"/>
      <c r="CT187" s="45"/>
      <c r="CU187" s="45"/>
      <c r="CV187" s="10"/>
      <c r="DE187" s="32"/>
      <c r="DX187" s="85"/>
      <c r="DY187" s="85"/>
    </row>
    <row r="188" spans="2:129" ht="19.5" customHeight="1">
      <c r="B188" s="181"/>
      <c r="C188" s="2499" t="s">
        <v>3829</v>
      </c>
      <c r="D188" s="2500"/>
      <c r="E188" s="2500"/>
      <c r="F188" s="2500"/>
      <c r="G188" s="2500"/>
      <c r="H188" s="2500"/>
      <c r="I188" s="2500"/>
      <c r="J188" s="2500"/>
      <c r="K188" s="2500"/>
      <c r="L188" s="2500"/>
      <c r="M188" s="2500"/>
      <c r="N188" s="2504" t="s">
        <v>3826</v>
      </c>
      <c r="O188" s="2504"/>
      <c r="P188" s="2504"/>
      <c r="Q188" s="2504"/>
      <c r="R188" s="2504" t="s">
        <v>3826</v>
      </c>
      <c r="S188" s="2504"/>
      <c r="T188" s="2504"/>
      <c r="U188" s="2504"/>
      <c r="V188" s="2503"/>
      <c r="W188" s="2503"/>
      <c r="X188" s="2503"/>
      <c r="Y188" s="2503"/>
      <c r="Z188" s="2503"/>
      <c r="AA188" s="2503"/>
      <c r="AB188" s="2503"/>
      <c r="AC188" s="2503"/>
      <c r="AD188" s="2503"/>
      <c r="AE188" s="2503"/>
      <c r="AF188" s="2503"/>
      <c r="AG188" s="2503"/>
      <c r="AH188" s="2503"/>
      <c r="AI188" s="2503"/>
      <c r="AJ188" s="2503"/>
      <c r="AK188" s="2503"/>
      <c r="AL188" s="2503"/>
      <c r="AM188" s="2503"/>
      <c r="AN188" s="2503"/>
      <c r="AO188" s="2503"/>
      <c r="AP188" s="2503"/>
      <c r="AQ188" s="2503"/>
      <c r="AR188" s="2503"/>
      <c r="AS188" s="2503"/>
      <c r="AT188" s="2503"/>
      <c r="AU188" s="171"/>
      <c r="AX188" s="114"/>
      <c r="AY188" s="544" t="s">
        <v>2357</v>
      </c>
      <c r="AZ188" s="114"/>
      <c r="BA188" s="115"/>
      <c r="BB188" s="115"/>
      <c r="BC188" s="115"/>
      <c r="BD188" s="547" t="s">
        <v>2358</v>
      </c>
      <c r="BE188" s="115"/>
      <c r="BF188" s="115"/>
      <c r="BG188" s="115"/>
      <c r="BH188" s="115"/>
      <c r="BI188" s="115"/>
      <c r="CA188" s="4"/>
      <c r="CB188" s="152"/>
      <c r="CD188" s="108"/>
      <c r="CE188" s="108"/>
      <c r="CF188" s="108"/>
      <c r="CH188" s="42"/>
      <c r="CI188" s="42"/>
      <c r="CJ188" s="42"/>
      <c r="CK188" s="42"/>
      <c r="CO188" s="2"/>
      <c r="CP188" s="43"/>
      <c r="CQ188" s="2"/>
      <c r="CR188" s="45"/>
      <c r="CS188" s="45"/>
      <c r="CT188" s="45"/>
      <c r="CU188" s="45"/>
      <c r="CV188" s="10"/>
      <c r="DE188" s="32"/>
      <c r="DX188" s="85"/>
      <c r="DY188" s="85"/>
    </row>
    <row r="189" spans="2:129" ht="19.5" customHeight="1">
      <c r="B189" s="181"/>
      <c r="C189" s="2500"/>
      <c r="D189" s="2500"/>
      <c r="E189" s="2500"/>
      <c r="F189" s="2500"/>
      <c r="G189" s="2500"/>
      <c r="H189" s="2500"/>
      <c r="I189" s="2500"/>
      <c r="J189" s="2500"/>
      <c r="K189" s="2500"/>
      <c r="L189" s="2500"/>
      <c r="M189" s="2500"/>
      <c r="N189" s="2504"/>
      <c r="O189" s="2504"/>
      <c r="P189" s="2504"/>
      <c r="Q189" s="2504"/>
      <c r="R189" s="2504"/>
      <c r="S189" s="2504"/>
      <c r="T189" s="2504"/>
      <c r="U189" s="2504"/>
      <c r="V189" s="2503"/>
      <c r="W189" s="2503"/>
      <c r="X189" s="2503"/>
      <c r="Y189" s="2503"/>
      <c r="Z189" s="2503"/>
      <c r="AA189" s="2503"/>
      <c r="AB189" s="2503"/>
      <c r="AC189" s="2503"/>
      <c r="AD189" s="2503"/>
      <c r="AE189" s="2503"/>
      <c r="AF189" s="2503"/>
      <c r="AG189" s="2503"/>
      <c r="AH189" s="2503"/>
      <c r="AI189" s="2503"/>
      <c r="AJ189" s="2503"/>
      <c r="AK189" s="2503"/>
      <c r="AL189" s="2503"/>
      <c r="AM189" s="2503"/>
      <c r="AN189" s="2503"/>
      <c r="AO189" s="2503"/>
      <c r="AP189" s="2503"/>
      <c r="AQ189" s="2503"/>
      <c r="AR189" s="2503"/>
      <c r="AS189" s="2503"/>
      <c r="AT189" s="2503"/>
      <c r="AU189" s="171"/>
      <c r="AX189" s="114"/>
      <c r="AY189" s="544" t="s">
        <v>2359</v>
      </c>
      <c r="AZ189" s="114"/>
      <c r="BA189" s="115"/>
      <c r="BB189" s="115"/>
      <c r="BC189" s="115"/>
      <c r="BD189" s="547" t="s">
        <v>2360</v>
      </c>
      <c r="BE189" s="115"/>
      <c r="BF189" s="115"/>
      <c r="BG189" s="115"/>
      <c r="BH189" s="115"/>
      <c r="BI189" s="115"/>
      <c r="CA189" s="11"/>
      <c r="CB189" s="152"/>
      <c r="CD189" s="108"/>
      <c r="CE189" s="108"/>
      <c r="CF189" s="108"/>
      <c r="CH189" s="42"/>
      <c r="CI189" s="42"/>
      <c r="CJ189" s="42"/>
      <c r="CK189" s="42"/>
      <c r="CO189" s="2"/>
      <c r="CP189" s="43"/>
      <c r="CQ189" s="2"/>
      <c r="CR189" s="45"/>
      <c r="CS189" s="45"/>
      <c r="CT189" s="45"/>
      <c r="CU189" s="45"/>
      <c r="CV189" s="10"/>
      <c r="DE189" s="32"/>
      <c r="DX189" s="85"/>
      <c r="DY189" s="85"/>
    </row>
    <row r="190" spans="2:129" ht="19.5" customHeight="1">
      <c r="B190" s="181"/>
      <c r="C190" s="2499" t="s">
        <v>3830</v>
      </c>
      <c r="D190" s="2500"/>
      <c r="E190" s="2500"/>
      <c r="F190" s="2500"/>
      <c r="G190" s="2500"/>
      <c r="H190" s="2500"/>
      <c r="I190" s="2500"/>
      <c r="J190" s="2500"/>
      <c r="K190" s="2500"/>
      <c r="L190" s="2500"/>
      <c r="M190" s="2500"/>
      <c r="N190" s="2504" t="s">
        <v>3827</v>
      </c>
      <c r="O190" s="2504"/>
      <c r="P190" s="2504"/>
      <c r="Q190" s="2504"/>
      <c r="R190" s="2504" t="s">
        <v>3826</v>
      </c>
      <c r="S190" s="2504"/>
      <c r="T190" s="2504"/>
      <c r="U190" s="2504"/>
      <c r="V190" s="2529"/>
      <c r="W190" s="2529"/>
      <c r="X190" s="2529"/>
      <c r="Y190" s="2529"/>
      <c r="Z190" s="2529"/>
      <c r="AA190" s="2529"/>
      <c r="AB190" s="2529"/>
      <c r="AC190" s="2529"/>
      <c r="AD190" s="2529"/>
      <c r="AE190" s="2529"/>
      <c r="AF190" s="2529"/>
      <c r="AG190" s="2529"/>
      <c r="AH190" s="2529"/>
      <c r="AI190" s="2529"/>
      <c r="AJ190" s="2529"/>
      <c r="AK190" s="2529"/>
      <c r="AL190" s="2529"/>
      <c r="AM190" s="2529"/>
      <c r="AN190" s="2529"/>
      <c r="AO190" s="2529"/>
      <c r="AP190" s="2529"/>
      <c r="AQ190" s="2529"/>
      <c r="AR190" s="2529"/>
      <c r="AS190" s="2529"/>
      <c r="AT190" s="2529"/>
      <c r="AU190" s="171"/>
      <c r="AX190" s="114"/>
      <c r="AY190" s="544" t="s">
        <v>2361</v>
      </c>
      <c r="AZ190" s="114"/>
      <c r="BA190" s="115"/>
      <c r="BB190" s="115"/>
      <c r="BC190" s="115"/>
      <c r="BD190" s="547" t="s">
        <v>2362</v>
      </c>
      <c r="BE190" s="115"/>
      <c r="BF190" s="115"/>
      <c r="BG190" s="115"/>
      <c r="BH190" s="115"/>
      <c r="BI190" s="115"/>
      <c r="CA190" s="11"/>
      <c r="CB190" s="152"/>
      <c r="CD190" s="108"/>
      <c r="CE190" s="108"/>
      <c r="CF190" s="108"/>
      <c r="CH190" s="42"/>
      <c r="CI190" s="42"/>
      <c r="CJ190" s="42"/>
      <c r="CK190" s="42"/>
      <c r="CO190" s="2"/>
      <c r="CP190" s="43"/>
      <c r="CQ190" s="2"/>
      <c r="CR190" s="45"/>
      <c r="CS190" s="45"/>
      <c r="CT190" s="45"/>
      <c r="CU190" s="45"/>
      <c r="CV190" s="10"/>
      <c r="DE190" s="32"/>
      <c r="DX190" s="85"/>
      <c r="DY190" s="85"/>
    </row>
    <row r="191" spans="2:129" ht="19.5" customHeight="1">
      <c r="B191" s="181"/>
      <c r="C191" s="2500"/>
      <c r="D191" s="2500"/>
      <c r="E191" s="2500"/>
      <c r="F191" s="2500"/>
      <c r="G191" s="2500"/>
      <c r="H191" s="2500"/>
      <c r="I191" s="2500"/>
      <c r="J191" s="2500"/>
      <c r="K191" s="2500"/>
      <c r="L191" s="2500"/>
      <c r="M191" s="2500"/>
      <c r="N191" s="2504"/>
      <c r="O191" s="2504"/>
      <c r="P191" s="2504"/>
      <c r="Q191" s="2504"/>
      <c r="R191" s="2504"/>
      <c r="S191" s="2504"/>
      <c r="T191" s="2504"/>
      <c r="U191" s="2504"/>
      <c r="V191" s="2529"/>
      <c r="W191" s="2529"/>
      <c r="X191" s="2529"/>
      <c r="Y191" s="2529"/>
      <c r="Z191" s="2529"/>
      <c r="AA191" s="2529"/>
      <c r="AB191" s="2529"/>
      <c r="AC191" s="2529"/>
      <c r="AD191" s="2529"/>
      <c r="AE191" s="2529"/>
      <c r="AF191" s="2529"/>
      <c r="AG191" s="2529"/>
      <c r="AH191" s="2529"/>
      <c r="AI191" s="2529"/>
      <c r="AJ191" s="2529"/>
      <c r="AK191" s="2529"/>
      <c r="AL191" s="2529"/>
      <c r="AM191" s="2529"/>
      <c r="AN191" s="2529"/>
      <c r="AO191" s="2529"/>
      <c r="AP191" s="2529"/>
      <c r="AQ191" s="2529"/>
      <c r="AR191" s="2529"/>
      <c r="AS191" s="2529"/>
      <c r="AT191" s="2529"/>
      <c r="AU191" s="171"/>
      <c r="AX191" s="114"/>
      <c r="AY191" s="544" t="s">
        <v>2363</v>
      </c>
      <c r="AZ191" s="114"/>
      <c r="BA191" s="115"/>
      <c r="BB191" s="115"/>
      <c r="BC191" s="115"/>
      <c r="BD191" s="547" t="s">
        <v>2364</v>
      </c>
      <c r="BE191" s="115"/>
      <c r="BF191" s="115"/>
      <c r="BG191" s="115"/>
      <c r="BH191" s="115"/>
      <c r="BI191" s="115"/>
      <c r="CA191" s="11"/>
      <c r="CB191" s="153"/>
      <c r="CD191" s="108"/>
      <c r="CE191" s="108"/>
      <c r="CF191" s="108"/>
      <c r="CH191" s="42"/>
      <c r="CI191" s="42"/>
      <c r="CJ191" s="42"/>
      <c r="CK191" s="42"/>
      <c r="CO191" s="2"/>
      <c r="CP191" s="43"/>
      <c r="CQ191" s="2"/>
      <c r="CR191" s="45"/>
      <c r="CS191" s="45"/>
      <c r="CT191" s="45"/>
      <c r="CU191" s="45"/>
      <c r="CV191" s="10"/>
      <c r="DE191" s="32"/>
      <c r="DX191" s="85"/>
      <c r="DY191" s="85"/>
    </row>
    <row r="192" spans="2:129" ht="19.5" customHeight="1">
      <c r="B192" s="181"/>
      <c r="C192" s="163" t="s">
        <v>950</v>
      </c>
      <c r="D192" s="163"/>
      <c r="E192" s="163"/>
      <c r="F192" s="163"/>
      <c r="G192" s="163"/>
      <c r="H192" s="163"/>
      <c r="I192" s="163"/>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71"/>
      <c r="AX192" s="114"/>
      <c r="AY192" s="544" t="s">
        <v>2365</v>
      </c>
      <c r="AZ192" s="114"/>
      <c r="BA192" s="115"/>
      <c r="BB192" s="115"/>
      <c r="BC192" s="115"/>
      <c r="BD192" s="547" t="s">
        <v>2366</v>
      </c>
      <c r="BE192" s="115"/>
      <c r="BF192" s="115"/>
      <c r="BG192" s="115"/>
      <c r="BH192" s="115"/>
      <c r="BI192" s="115"/>
      <c r="CA192" s="11"/>
      <c r="CB192" s="153"/>
      <c r="CD192" s="108"/>
      <c r="CE192" s="108"/>
      <c r="CF192" s="108"/>
      <c r="CH192" s="42"/>
      <c r="CI192" s="42"/>
      <c r="CJ192" s="42"/>
      <c r="CK192" s="42"/>
      <c r="CO192" s="2"/>
      <c r="CP192" s="43"/>
      <c r="CQ192" s="2"/>
      <c r="CR192" s="45"/>
      <c r="CS192" s="45"/>
      <c r="CT192" s="45"/>
      <c r="CU192" s="45"/>
      <c r="CV192" s="10"/>
      <c r="DE192" s="32"/>
      <c r="DX192" s="85"/>
      <c r="DY192" s="85"/>
    </row>
    <row r="193" spans="2:129" ht="19.5" customHeight="1">
      <c r="B193" s="181"/>
      <c r="C193" s="163" t="s">
        <v>3831</v>
      </c>
      <c r="D193" s="163"/>
      <c r="E193" s="163"/>
      <c r="F193" s="163"/>
      <c r="G193" s="163"/>
      <c r="H193" s="163"/>
      <c r="I193" s="163"/>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71"/>
      <c r="AX193" s="114"/>
      <c r="AY193" s="544" t="s">
        <v>2367</v>
      </c>
      <c r="AZ193" s="114"/>
      <c r="BA193" s="115"/>
      <c r="BB193" s="115"/>
      <c r="BC193" s="115"/>
      <c r="BD193" s="547" t="s">
        <v>2368</v>
      </c>
      <c r="BE193" s="115"/>
      <c r="BF193" s="115"/>
      <c r="BG193" s="115"/>
      <c r="BH193" s="115"/>
      <c r="BI193" s="115"/>
      <c r="CA193" s="2"/>
      <c r="CB193" s="153"/>
      <c r="CD193" s="108"/>
      <c r="CE193" s="108"/>
      <c r="CF193" s="108"/>
      <c r="CH193" s="42"/>
      <c r="CI193" s="42"/>
      <c r="CJ193" s="42"/>
      <c r="CK193" s="42"/>
      <c r="CO193" s="2"/>
      <c r="CP193" s="43"/>
      <c r="CQ193" s="2"/>
      <c r="CR193" s="45"/>
      <c r="CS193" s="45"/>
      <c r="CT193" s="45"/>
      <c r="CU193" s="45"/>
      <c r="CV193" s="10"/>
      <c r="DE193" s="32"/>
      <c r="DX193" s="85"/>
      <c r="DY193" s="85"/>
    </row>
    <row r="194" spans="2:129" ht="19.5" customHeight="1">
      <c r="B194" s="181"/>
      <c r="C194" s="163"/>
      <c r="D194" s="111"/>
      <c r="E194" s="111"/>
      <c r="F194" s="111"/>
      <c r="G194" s="111"/>
      <c r="H194" s="111"/>
      <c r="I194" s="111"/>
      <c r="J194" s="111"/>
      <c r="K194" s="111"/>
      <c r="L194" s="111"/>
      <c r="M194" s="111"/>
      <c r="N194" s="111"/>
      <c r="O194" s="111"/>
      <c r="P194" s="111"/>
      <c r="Q194" s="111"/>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38"/>
      <c r="AX194" s="114"/>
      <c r="AY194" s="544" t="s">
        <v>2369</v>
      </c>
      <c r="AZ194" s="114"/>
      <c r="BA194" s="115"/>
      <c r="BB194" s="115"/>
      <c r="BC194" s="115"/>
      <c r="BD194" s="547" t="s">
        <v>2370</v>
      </c>
      <c r="BE194" s="115"/>
      <c r="BF194" s="115"/>
      <c r="BG194" s="115"/>
      <c r="BH194" s="115"/>
      <c r="BI194" s="115"/>
      <c r="CA194" s="11"/>
      <c r="CB194" s="153"/>
      <c r="CD194" s="108"/>
      <c r="CE194" s="108"/>
      <c r="CF194" s="108"/>
      <c r="CH194" s="42"/>
      <c r="CI194" s="42"/>
      <c r="CJ194" s="42"/>
      <c r="CK194" s="42"/>
      <c r="CO194" s="2"/>
      <c r="CP194" s="43"/>
      <c r="CQ194" s="2"/>
      <c r="CR194" s="45"/>
      <c r="CS194" s="45"/>
      <c r="CT194" s="45"/>
      <c r="CU194" s="45"/>
      <c r="CV194" s="10"/>
      <c r="DE194" s="32"/>
      <c r="DX194" s="85"/>
      <c r="DY194" s="85"/>
    </row>
    <row r="195" spans="2:129" ht="19.5" customHeight="1">
      <c r="B195" s="181"/>
      <c r="C195" s="2498" t="str">
        <f>"ご記入ありがとうございました。SBPSにて本書を受け取り次第、お手続きを進めさせていただきます。"</f>
        <v>ご記入ありがとうございました。SBPSにて本書を受け取り次第、お手続きを進めさせていただきます。</v>
      </c>
      <c r="D195" s="2498"/>
      <c r="E195" s="2498"/>
      <c r="F195" s="2498"/>
      <c r="G195" s="2498"/>
      <c r="H195" s="2498"/>
      <c r="I195" s="2498"/>
      <c r="J195" s="2498"/>
      <c r="K195" s="2498"/>
      <c r="L195" s="2498"/>
      <c r="M195" s="2498"/>
      <c r="N195" s="2498"/>
      <c r="O195" s="2498"/>
      <c r="P195" s="2498"/>
      <c r="Q195" s="2498"/>
      <c r="R195" s="2498"/>
      <c r="S195" s="2498"/>
      <c r="T195" s="2498"/>
      <c r="U195" s="2498"/>
      <c r="V195" s="2498"/>
      <c r="W195" s="2498"/>
      <c r="X195" s="2498"/>
      <c r="Y195" s="2498"/>
      <c r="Z195" s="2498"/>
      <c r="AA195" s="2498"/>
      <c r="AB195" s="2498"/>
      <c r="AC195" s="2498"/>
      <c r="AD195" s="2498"/>
      <c r="AE195" s="2498"/>
      <c r="AF195" s="2498"/>
      <c r="AG195" s="2498"/>
      <c r="AH195" s="2498"/>
      <c r="AI195" s="2498"/>
      <c r="AJ195" s="2498"/>
      <c r="AK195" s="2498"/>
      <c r="AL195" s="2498"/>
      <c r="AM195" s="2498"/>
      <c r="AN195" s="2498"/>
      <c r="AO195" s="2498"/>
      <c r="AP195" s="2498"/>
      <c r="AQ195" s="2498"/>
      <c r="AR195" s="2498"/>
      <c r="AS195" s="2498"/>
      <c r="AT195" s="2498"/>
      <c r="AU195" s="138"/>
      <c r="AX195" s="114"/>
      <c r="AY195" s="544" t="s">
        <v>2371</v>
      </c>
      <c r="AZ195" s="114"/>
      <c r="BA195" s="115"/>
      <c r="BB195" s="115"/>
      <c r="BC195" s="115"/>
      <c r="BD195" s="547" t="s">
        <v>2372</v>
      </c>
      <c r="BE195" s="115"/>
      <c r="BF195" s="115"/>
      <c r="BG195" s="115"/>
      <c r="BH195" s="115"/>
      <c r="BI195" s="115"/>
      <c r="CA195" s="2"/>
      <c r="CB195" s="153"/>
      <c r="CD195" s="108"/>
      <c r="CE195" s="108"/>
      <c r="CF195" s="108"/>
      <c r="CH195" s="42"/>
      <c r="CI195" s="42"/>
      <c r="CJ195" s="42"/>
      <c r="CK195" s="42"/>
      <c r="CO195" s="2"/>
      <c r="CP195" s="43"/>
      <c r="CR195" s="45"/>
      <c r="CS195" s="45"/>
      <c r="CT195" s="45"/>
      <c r="CU195" s="45"/>
      <c r="CV195" s="10"/>
      <c r="DE195" s="32"/>
      <c r="DX195" s="85"/>
      <c r="DY195" s="85"/>
    </row>
    <row r="196" spans="2:129" ht="19.5" customHeight="1">
      <c r="B196" s="181"/>
      <c r="C196" s="2498"/>
      <c r="D196" s="2498"/>
      <c r="E196" s="2498"/>
      <c r="F196" s="2498"/>
      <c r="G196" s="2498"/>
      <c r="H196" s="2498"/>
      <c r="I196" s="2498"/>
      <c r="J196" s="2498"/>
      <c r="K196" s="2498"/>
      <c r="L196" s="2498"/>
      <c r="M196" s="2498"/>
      <c r="N196" s="2498"/>
      <c r="O196" s="2498"/>
      <c r="P196" s="2498"/>
      <c r="Q196" s="2498"/>
      <c r="R196" s="2498"/>
      <c r="S196" s="2498"/>
      <c r="T196" s="2498"/>
      <c r="U196" s="2498"/>
      <c r="V196" s="2498"/>
      <c r="W196" s="2498"/>
      <c r="X196" s="2498"/>
      <c r="Y196" s="2498"/>
      <c r="Z196" s="2498"/>
      <c r="AA196" s="2498"/>
      <c r="AB196" s="2498"/>
      <c r="AC196" s="2498"/>
      <c r="AD196" s="2498"/>
      <c r="AE196" s="2498"/>
      <c r="AF196" s="2498"/>
      <c r="AG196" s="2498"/>
      <c r="AH196" s="2498"/>
      <c r="AI196" s="2498"/>
      <c r="AJ196" s="2498"/>
      <c r="AK196" s="2498"/>
      <c r="AL196" s="2498"/>
      <c r="AM196" s="2498"/>
      <c r="AN196" s="2498"/>
      <c r="AO196" s="2498"/>
      <c r="AP196" s="2498"/>
      <c r="AQ196" s="2498"/>
      <c r="AR196" s="2498"/>
      <c r="AS196" s="2498"/>
      <c r="AT196" s="2498"/>
      <c r="AU196" s="138"/>
      <c r="AX196" s="114"/>
      <c r="AY196" s="544" t="s">
        <v>2373</v>
      </c>
      <c r="AZ196" s="114"/>
      <c r="BA196" s="115"/>
      <c r="BB196" s="115"/>
      <c r="BC196" s="115"/>
      <c r="BD196" s="547" t="s">
        <v>2374</v>
      </c>
      <c r="BE196" s="115"/>
      <c r="BF196" s="115"/>
      <c r="BG196" s="115"/>
      <c r="BH196" s="115"/>
      <c r="BI196" s="115"/>
      <c r="CA196" s="2"/>
      <c r="CD196" s="108"/>
      <c r="CE196" s="108"/>
      <c r="CF196" s="108"/>
      <c r="CH196" s="42"/>
      <c r="CI196" s="42"/>
      <c r="CJ196" s="42"/>
      <c r="CK196" s="42"/>
      <c r="CO196" s="2"/>
      <c r="CP196" s="43"/>
      <c r="CR196" s="45"/>
      <c r="CS196" s="45"/>
      <c r="CT196" s="45"/>
      <c r="CU196" s="45"/>
      <c r="CV196" s="10"/>
      <c r="DE196" s="32"/>
      <c r="DX196" s="85"/>
      <c r="DY196" s="85"/>
    </row>
    <row r="197" spans="2:129" ht="19.5" customHeight="1">
      <c r="B197" s="181"/>
      <c r="C197" s="111"/>
      <c r="D197" s="111"/>
      <c r="E197" s="111"/>
      <c r="F197" s="111"/>
      <c r="G197" s="111"/>
      <c r="H197" s="111"/>
      <c r="I197" s="111"/>
      <c r="J197" s="111"/>
      <c r="K197" s="111"/>
      <c r="L197" s="111"/>
      <c r="M197" s="111"/>
      <c r="N197" s="111"/>
      <c r="O197" s="111"/>
      <c r="P197" s="111"/>
      <c r="Q197" s="111"/>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38"/>
      <c r="AX197" s="114"/>
      <c r="AY197" s="544" t="s">
        <v>2375</v>
      </c>
      <c r="AZ197" s="114"/>
      <c r="BA197" s="115"/>
      <c r="BB197" s="115"/>
      <c r="BC197" s="115"/>
      <c r="BD197" s="547" t="s">
        <v>2376</v>
      </c>
      <c r="BE197" s="115"/>
      <c r="BF197" s="115"/>
      <c r="BG197" s="115"/>
      <c r="BH197" s="115"/>
      <c r="BI197" s="115"/>
      <c r="CA197" s="2"/>
      <c r="CB197" s="153"/>
      <c r="CD197" s="108"/>
      <c r="CE197" s="108"/>
      <c r="CF197" s="108"/>
      <c r="CH197" s="42"/>
      <c r="CI197" s="42"/>
      <c r="CJ197" s="42"/>
      <c r="CK197" s="42"/>
      <c r="CO197" s="2"/>
      <c r="CP197" s="43"/>
      <c r="CR197" s="45"/>
      <c r="CS197" s="45"/>
      <c r="CT197" s="45"/>
      <c r="CU197" s="45"/>
      <c r="CV197" s="10"/>
      <c r="DE197" s="32"/>
      <c r="DX197" s="85"/>
      <c r="DY197" s="85"/>
    </row>
    <row r="198" spans="2:129" ht="19.5" customHeight="1">
      <c r="B198" s="18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67"/>
      <c r="AX198" s="114"/>
      <c r="AY198" s="544" t="s">
        <v>2377</v>
      </c>
      <c r="AZ198" s="114"/>
      <c r="BA198" s="115"/>
      <c r="BB198" s="115"/>
      <c r="BC198" s="115"/>
      <c r="BD198" s="547" t="s">
        <v>2378</v>
      </c>
      <c r="BE198" s="115"/>
      <c r="BF198" s="115"/>
      <c r="BG198" s="115"/>
      <c r="BH198" s="115"/>
      <c r="BI198" s="115"/>
      <c r="CA198" s="2"/>
      <c r="CD198" s="108"/>
      <c r="CE198" s="108"/>
      <c r="CF198" s="108"/>
      <c r="CH198" s="42"/>
      <c r="CI198" s="42"/>
      <c r="CJ198" s="42"/>
      <c r="CK198" s="42"/>
      <c r="CO198" s="2"/>
      <c r="CP198" s="43"/>
      <c r="CR198" s="45"/>
      <c r="CS198" s="45"/>
      <c r="CT198" s="45"/>
      <c r="CU198" s="45"/>
      <c r="CV198" s="10"/>
      <c r="DE198" s="32"/>
      <c r="DX198" s="85"/>
      <c r="DY198" s="85"/>
    </row>
    <row r="199" spans="2:129" ht="19.5" customHeight="1">
      <c r="B199" s="18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67"/>
      <c r="AX199" s="114"/>
      <c r="AY199" s="544" t="s">
        <v>2379</v>
      </c>
      <c r="AZ199" s="114"/>
      <c r="BA199" s="115"/>
      <c r="BB199" s="115"/>
      <c r="BC199" s="115"/>
      <c r="BD199" s="547" t="s">
        <v>2380</v>
      </c>
      <c r="BE199" s="115"/>
      <c r="BF199" s="115"/>
      <c r="BG199" s="115"/>
      <c r="BH199" s="115"/>
      <c r="BI199" s="115"/>
      <c r="CA199" s="2"/>
      <c r="CD199" s="108"/>
      <c r="CE199" s="108"/>
      <c r="CF199" s="108"/>
      <c r="CH199" s="42"/>
      <c r="CI199" s="42"/>
      <c r="CJ199" s="42"/>
      <c r="CK199" s="42"/>
      <c r="CO199" s="2"/>
      <c r="CP199" s="43"/>
      <c r="CR199" s="45"/>
      <c r="CS199" s="45"/>
      <c r="CT199" s="45"/>
      <c r="CU199" s="45"/>
      <c r="CV199" s="10"/>
      <c r="DE199" s="32"/>
      <c r="DX199" s="85"/>
      <c r="DY199" s="85"/>
    </row>
    <row r="200" spans="2:129" ht="19.5" customHeight="1">
      <c r="B200" s="187"/>
      <c r="C200" s="112"/>
      <c r="AC200" s="112"/>
      <c r="AD200" s="112"/>
      <c r="AE200" s="112"/>
      <c r="AF200" s="112"/>
      <c r="AG200" s="112"/>
      <c r="AH200" s="112"/>
      <c r="AI200" s="112"/>
      <c r="AJ200" s="112"/>
      <c r="AK200" s="112"/>
      <c r="AT200" s="141"/>
      <c r="AU200" s="550"/>
      <c r="AX200" s="114"/>
      <c r="AY200" s="544" t="s">
        <v>2381</v>
      </c>
      <c r="AZ200" s="114"/>
      <c r="BA200" s="115"/>
      <c r="BB200" s="115"/>
      <c r="BC200" s="115"/>
      <c r="BD200" s="547" t="s">
        <v>2382</v>
      </c>
      <c r="BE200" s="115"/>
      <c r="BF200" s="115"/>
      <c r="BG200" s="115"/>
      <c r="BH200" s="115"/>
      <c r="BI200" s="115"/>
      <c r="CA200" s="2"/>
      <c r="CD200" s="108"/>
      <c r="CE200" s="108"/>
      <c r="CF200" s="108"/>
      <c r="CH200" s="42"/>
      <c r="CI200" s="42"/>
      <c r="CJ200" s="42"/>
      <c r="CK200" s="42"/>
      <c r="CO200" s="2"/>
      <c r="CP200" s="43"/>
      <c r="CR200" s="45"/>
      <c r="CS200" s="45"/>
      <c r="CT200" s="45"/>
      <c r="CU200" s="45"/>
      <c r="CV200" s="10"/>
      <c r="DE200" s="32"/>
      <c r="DX200" s="85"/>
      <c r="DY200" s="85"/>
    </row>
    <row r="201" spans="2:129" ht="19.5" customHeight="1" thickBot="1">
      <c r="B201" s="551"/>
      <c r="C201" s="552"/>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c r="AA201" s="552"/>
      <c r="AB201" s="552"/>
      <c r="AC201" s="552"/>
      <c r="AD201" s="552"/>
      <c r="AE201" s="552"/>
      <c r="AF201" s="552"/>
      <c r="AG201" s="552"/>
      <c r="AH201" s="552"/>
      <c r="AI201" s="552"/>
      <c r="AJ201" s="552"/>
      <c r="AK201" s="552"/>
      <c r="AL201" s="552"/>
      <c r="AM201" s="552"/>
      <c r="AN201" s="552"/>
      <c r="AO201" s="552"/>
      <c r="AP201" s="552"/>
      <c r="AQ201" s="552"/>
      <c r="AR201" s="552"/>
      <c r="AS201" s="552"/>
      <c r="AT201" s="553"/>
      <c r="AU201" s="554"/>
      <c r="AY201" s="542" t="s">
        <v>2383</v>
      </c>
      <c r="AZ201" s="114"/>
      <c r="BA201" s="115"/>
      <c r="BB201" s="115"/>
      <c r="BC201" s="115"/>
      <c r="BD201" s="547" t="s">
        <v>2384</v>
      </c>
      <c r="BE201" s="115"/>
      <c r="BF201" s="115"/>
      <c r="BG201" s="115"/>
      <c r="BH201" s="115"/>
      <c r="BI201" s="115"/>
      <c r="CA201" s="2"/>
      <c r="CD201" s="108"/>
      <c r="CE201" s="108"/>
      <c r="CF201" s="108"/>
      <c r="CH201" s="42"/>
      <c r="CI201" s="42"/>
      <c r="CJ201" s="42"/>
      <c r="CK201" s="42"/>
      <c r="CO201" s="2"/>
      <c r="CP201" s="43"/>
      <c r="CR201" s="45"/>
      <c r="CS201" s="45"/>
      <c r="CT201" s="45"/>
      <c r="CU201" s="45"/>
      <c r="CV201" s="10"/>
      <c r="DE201" s="32"/>
      <c r="DX201" s="85"/>
      <c r="DY201" s="85"/>
    </row>
    <row r="202" spans="2:129" ht="19.5" customHeight="1" thickTop="1">
      <c r="C202" s="112"/>
      <c r="AC202" s="112"/>
      <c r="AD202" s="112"/>
      <c r="AE202" s="112"/>
      <c r="AF202" s="112"/>
      <c r="AG202" s="112"/>
      <c r="AH202" s="112"/>
      <c r="AI202" s="112"/>
      <c r="AJ202" s="112"/>
      <c r="AK202" s="112"/>
      <c r="AT202" s="141"/>
      <c r="AU202" s="173"/>
      <c r="AX202" s="114" t="s">
        <v>2118</v>
      </c>
      <c r="AY202" s="542" t="s">
        <v>2385</v>
      </c>
      <c r="AZ202" s="114" t="s">
        <v>2386</v>
      </c>
      <c r="BA202" s="115"/>
      <c r="BB202" s="115"/>
      <c r="BC202" s="115"/>
      <c r="BD202" s="547" t="s">
        <v>2387</v>
      </c>
      <c r="BE202" s="115"/>
      <c r="BF202" s="115"/>
      <c r="BG202" s="115"/>
      <c r="BH202" s="115"/>
      <c r="BI202" s="115"/>
      <c r="CA202" s="2"/>
      <c r="CD202" s="108"/>
      <c r="CE202" s="108"/>
      <c r="CF202" s="108"/>
      <c r="CH202" s="42"/>
      <c r="CI202" s="42"/>
      <c r="CJ202" s="42"/>
      <c r="CK202" s="42"/>
      <c r="CO202" s="2"/>
      <c r="CP202" s="43"/>
      <c r="DE202" s="32"/>
      <c r="DX202" s="85"/>
      <c r="DY202" s="85"/>
    </row>
    <row r="203" spans="2:129" ht="19.5" customHeight="1">
      <c r="C203" s="112"/>
      <c r="AC203" s="112"/>
      <c r="AD203" s="112"/>
      <c r="AE203" s="112"/>
      <c r="AF203" s="112"/>
      <c r="AG203" s="112"/>
      <c r="AH203" s="112"/>
      <c r="AI203" s="112"/>
      <c r="AJ203" s="112"/>
      <c r="AK203" s="112"/>
      <c r="AT203" s="141"/>
      <c r="AU203" s="173"/>
      <c r="AX203" s="543" t="s">
        <v>2113</v>
      </c>
      <c r="AY203" s="542" t="s">
        <v>2388</v>
      </c>
      <c r="AZ203" s="642" t="s">
        <v>2389</v>
      </c>
      <c r="BA203" s="115"/>
      <c r="BB203" s="115"/>
      <c r="BC203" s="115"/>
      <c r="BD203" s="547" t="s">
        <v>2390</v>
      </c>
      <c r="BE203" s="115"/>
      <c r="BF203" s="115"/>
      <c r="BG203" s="115"/>
      <c r="BH203" s="115"/>
      <c r="BI203" s="115"/>
      <c r="CA203" s="2"/>
      <c r="CD203" s="108"/>
      <c r="CE203" s="108"/>
      <c r="CF203" s="108"/>
      <c r="CH203" s="42"/>
      <c r="CI203" s="42"/>
      <c r="CJ203" s="42"/>
      <c r="CK203" s="42"/>
      <c r="CO203" s="2"/>
      <c r="CP203" s="43"/>
      <c r="DE203" s="32"/>
      <c r="DX203" s="85"/>
      <c r="DY203" s="85"/>
    </row>
    <row r="204" spans="2:129" ht="19.5" customHeight="1">
      <c r="C204" s="112"/>
      <c r="AC204" s="112"/>
      <c r="AD204" s="112"/>
      <c r="AE204" s="112"/>
      <c r="AF204" s="112"/>
      <c r="AG204" s="112"/>
      <c r="AH204" s="112"/>
      <c r="AI204" s="112"/>
      <c r="AJ204" s="112"/>
      <c r="AK204" s="112"/>
      <c r="AT204" s="141"/>
      <c r="AU204" s="173"/>
      <c r="AX204" s="542" t="s">
        <v>2119</v>
      </c>
      <c r="AY204" s="542" t="s">
        <v>2391</v>
      </c>
      <c r="AZ204" s="642" t="s">
        <v>2392</v>
      </c>
      <c r="BA204" s="115"/>
      <c r="BB204" s="115"/>
      <c r="BC204" s="115"/>
      <c r="BD204" s="547" t="s">
        <v>2393</v>
      </c>
      <c r="BE204" s="115"/>
      <c r="BF204" s="115"/>
      <c r="BG204" s="115"/>
      <c r="BH204" s="115"/>
      <c r="BI204" s="115"/>
      <c r="CA204" s="2"/>
      <c r="CD204" s="108"/>
      <c r="CE204" s="108"/>
      <c r="CF204" s="108"/>
      <c r="CH204" s="42"/>
      <c r="CI204" s="42"/>
      <c r="CJ204" s="42"/>
      <c r="CK204" s="42"/>
      <c r="CO204" s="2"/>
      <c r="CP204" s="43"/>
      <c r="DE204" s="32"/>
      <c r="DX204" s="1"/>
    </row>
    <row r="205" spans="2:129" ht="19.5" customHeight="1">
      <c r="C205" s="112"/>
      <c r="AC205" s="112"/>
      <c r="AD205" s="112"/>
      <c r="AE205" s="112"/>
      <c r="AF205" s="112"/>
      <c r="AG205" s="112"/>
      <c r="AH205" s="112"/>
      <c r="AI205" s="112"/>
      <c r="AJ205" s="112"/>
      <c r="AK205" s="112"/>
      <c r="AT205" s="141"/>
      <c r="AU205" s="173"/>
      <c r="AX205" s="542" t="s">
        <v>2117</v>
      </c>
      <c r="AY205" s="542" t="s">
        <v>2394</v>
      </c>
      <c r="AZ205" s="642" t="s">
        <v>2395</v>
      </c>
      <c r="BA205" s="115"/>
      <c r="BB205" s="115"/>
      <c r="BC205" s="115"/>
      <c r="BD205" s="547" t="s">
        <v>2396</v>
      </c>
      <c r="BE205" s="115"/>
      <c r="BF205" s="115"/>
      <c r="BG205" s="115"/>
      <c r="BH205" s="115"/>
      <c r="BI205" s="115"/>
      <c r="CA205" s="2"/>
      <c r="CD205" s="108"/>
      <c r="CE205" s="108"/>
      <c r="CF205" s="108"/>
      <c r="CH205" s="42"/>
      <c r="CI205" s="42"/>
      <c r="CJ205" s="42"/>
      <c r="CK205" s="42"/>
      <c r="CO205" s="2"/>
      <c r="CP205" s="43"/>
      <c r="DE205" s="32"/>
      <c r="DX205" s="1"/>
    </row>
    <row r="206" spans="2:129" ht="19.5" customHeight="1">
      <c r="C206" s="112"/>
      <c r="AC206" s="112"/>
      <c r="AD206" s="112"/>
      <c r="AE206" s="112"/>
      <c r="AF206" s="112"/>
      <c r="AG206" s="112"/>
      <c r="AH206" s="112"/>
      <c r="AI206" s="112"/>
      <c r="AJ206" s="112"/>
      <c r="AK206" s="112"/>
      <c r="AT206" s="141"/>
      <c r="AU206" s="173"/>
      <c r="AX206" s="542" t="s">
        <v>2120</v>
      </c>
      <c r="AY206" s="542" t="s">
        <v>2397</v>
      </c>
      <c r="AZ206" s="642" t="s">
        <v>2398</v>
      </c>
      <c r="BA206" s="115"/>
      <c r="BB206" s="115"/>
      <c r="BC206" s="115"/>
      <c r="BD206" s="547" t="s">
        <v>2399</v>
      </c>
      <c r="BE206" s="115"/>
      <c r="BF206" s="115"/>
      <c r="BG206" s="115"/>
      <c r="BH206" s="115"/>
      <c r="BI206" s="115"/>
      <c r="CA206" s="2"/>
      <c r="CD206" s="108"/>
      <c r="CE206" s="108"/>
      <c r="CF206" s="108"/>
      <c r="CH206" s="42"/>
      <c r="CI206" s="42"/>
      <c r="CJ206" s="42"/>
      <c r="CK206" s="42"/>
      <c r="CO206" s="2"/>
      <c r="CP206" s="43"/>
      <c r="DE206" s="32"/>
      <c r="DX206" s="1"/>
    </row>
    <row r="207" spans="2:129" ht="19.5" customHeight="1">
      <c r="C207" s="112"/>
      <c r="AC207" s="112"/>
      <c r="AD207" s="112"/>
      <c r="AE207" s="112"/>
      <c r="AF207" s="112"/>
      <c r="AG207" s="112"/>
      <c r="AH207" s="112"/>
      <c r="AI207" s="112"/>
      <c r="AJ207" s="112"/>
      <c r="AK207" s="112"/>
      <c r="AT207" s="141"/>
      <c r="AU207" s="173"/>
      <c r="AX207" s="542" t="s">
        <v>2121</v>
      </c>
      <c r="AY207" s="542" t="s">
        <v>2400</v>
      </c>
      <c r="AZ207" s="642" t="s">
        <v>2401</v>
      </c>
      <c r="BA207" s="115"/>
      <c r="BB207" s="115"/>
      <c r="BC207" s="115"/>
      <c r="BD207" s="547" t="s">
        <v>2402</v>
      </c>
      <c r="BE207" s="115"/>
      <c r="BF207" s="115"/>
      <c r="BG207" s="115"/>
      <c r="BH207" s="115"/>
      <c r="BI207" s="115"/>
      <c r="CD207" s="108"/>
      <c r="CE207" s="108"/>
      <c r="CF207" s="108"/>
      <c r="CH207" s="42"/>
      <c r="CI207" s="42"/>
      <c r="CJ207" s="42"/>
      <c r="CK207" s="42"/>
      <c r="CO207" s="2"/>
      <c r="CP207" s="43"/>
      <c r="DE207" s="32"/>
      <c r="DX207" s="1"/>
    </row>
    <row r="208" spans="2:129" ht="19.5" customHeight="1">
      <c r="C208" s="112"/>
      <c r="AC208" s="112"/>
      <c r="AD208" s="112"/>
      <c r="AE208" s="112"/>
      <c r="AF208" s="112"/>
      <c r="AG208" s="112"/>
      <c r="AH208" s="112"/>
      <c r="AI208" s="112"/>
      <c r="AJ208" s="112"/>
      <c r="AK208" s="112"/>
      <c r="AT208" s="141"/>
      <c r="AU208" s="173"/>
      <c r="AX208" s="542" t="s">
        <v>2122</v>
      </c>
      <c r="AY208" s="542" t="s">
        <v>2403</v>
      </c>
      <c r="AZ208" s="642" t="s">
        <v>2404</v>
      </c>
      <c r="BA208" s="115"/>
      <c r="BB208" s="115"/>
      <c r="BC208" s="115"/>
      <c r="BD208" s="549" t="s">
        <v>2405</v>
      </c>
      <c r="BE208" s="115"/>
      <c r="BF208" s="115"/>
      <c r="BG208" s="115"/>
      <c r="BH208" s="115"/>
      <c r="BI208" s="115"/>
      <c r="CD208" s="108"/>
      <c r="CE208" s="108"/>
      <c r="CF208" s="108"/>
      <c r="CH208" s="42"/>
      <c r="CI208" s="42"/>
      <c r="CJ208" s="42"/>
      <c r="CK208" s="42"/>
      <c r="CO208" s="2"/>
      <c r="CP208" s="43"/>
      <c r="DE208" s="32"/>
      <c r="DX208" s="1"/>
    </row>
    <row r="209" spans="3:128" ht="19.5" customHeight="1">
      <c r="C209" s="112"/>
      <c r="AC209" s="112"/>
      <c r="AD209" s="112"/>
      <c r="AE209" s="112"/>
      <c r="AF209" s="112"/>
      <c r="AG209" s="112"/>
      <c r="AH209" s="112"/>
      <c r="AI209" s="112"/>
      <c r="AJ209" s="112"/>
      <c r="AK209" s="112"/>
      <c r="AT209" s="141"/>
      <c r="AU209" s="173"/>
      <c r="AX209" s="542" t="s">
        <v>2123</v>
      </c>
      <c r="AY209" s="542" t="s">
        <v>2406</v>
      </c>
      <c r="AZ209" s="642" t="s">
        <v>2407</v>
      </c>
      <c r="BA209" s="115"/>
      <c r="BB209" s="115"/>
      <c r="BC209" s="115"/>
      <c r="BD209" s="115"/>
      <c r="BE209" s="115"/>
      <c r="BF209" s="115"/>
      <c r="BG209" s="115"/>
      <c r="BH209" s="115"/>
      <c r="BI209" s="115"/>
      <c r="CD209" s="108"/>
      <c r="CE209" s="108"/>
      <c r="CF209" s="108"/>
      <c r="DE209" s="32"/>
      <c r="DX209" s="1"/>
    </row>
    <row r="210" spans="3:128" ht="19.5" customHeight="1">
      <c r="C210" s="112"/>
      <c r="AC210" s="112"/>
      <c r="AD210" s="112"/>
      <c r="AE210" s="112"/>
      <c r="AF210" s="112"/>
      <c r="AG210" s="112"/>
      <c r="AH210" s="112"/>
      <c r="AI210" s="112"/>
      <c r="AJ210" s="112"/>
      <c r="AK210" s="112"/>
      <c r="AT210" s="141"/>
      <c r="AU210" s="173"/>
      <c r="AX210" s="542" t="s">
        <v>2124</v>
      </c>
      <c r="AY210" s="542" t="s">
        <v>2408</v>
      </c>
      <c r="AZ210" s="642" t="s">
        <v>2409</v>
      </c>
      <c r="BA210" s="115"/>
      <c r="BB210" s="115"/>
      <c r="BC210" s="115"/>
      <c r="BD210" s="115"/>
      <c r="BE210" s="115"/>
      <c r="BF210" s="115"/>
      <c r="BG210" s="115"/>
      <c r="BH210" s="115"/>
      <c r="BI210" s="115"/>
      <c r="CD210" s="108"/>
      <c r="CE210" s="108"/>
      <c r="CF210" s="108"/>
      <c r="DE210" s="32"/>
      <c r="DX210" s="1"/>
    </row>
    <row r="211" spans="3:128" ht="19.5" customHeight="1">
      <c r="C211" s="112"/>
      <c r="AC211" s="112"/>
      <c r="AD211" s="112"/>
      <c r="AE211" s="112"/>
      <c r="AF211" s="112"/>
      <c r="AG211" s="112"/>
      <c r="AH211" s="112"/>
      <c r="AI211" s="112"/>
      <c r="AJ211" s="112"/>
      <c r="AK211" s="112"/>
      <c r="AU211" s="173"/>
      <c r="AX211" s="542" t="s">
        <v>2125</v>
      </c>
      <c r="AY211" s="542" t="s">
        <v>2410</v>
      </c>
      <c r="AZ211" s="642" t="s">
        <v>2411</v>
      </c>
      <c r="BA211" s="115"/>
      <c r="BB211" s="115"/>
      <c r="BC211" s="115"/>
      <c r="BD211" s="115"/>
      <c r="BE211" s="115"/>
      <c r="BF211" s="115"/>
      <c r="BG211" s="115"/>
      <c r="BH211" s="115"/>
      <c r="BI211" s="115"/>
      <c r="CD211" s="108"/>
      <c r="CE211" s="108"/>
      <c r="CF211" s="108"/>
      <c r="DE211" s="32"/>
      <c r="DX211" s="1"/>
    </row>
    <row r="212" spans="3:128" ht="19.5" customHeight="1">
      <c r="C212" s="112"/>
      <c r="AC212" s="112"/>
      <c r="AD212" s="112"/>
      <c r="AE212" s="112"/>
      <c r="AF212" s="112"/>
      <c r="AG212" s="112"/>
      <c r="AH212" s="112"/>
      <c r="AI212" s="112"/>
      <c r="AJ212" s="112"/>
      <c r="AK212" s="112"/>
      <c r="AU212" s="173"/>
      <c r="AX212" s="542" t="s">
        <v>2126</v>
      </c>
      <c r="AY212" s="542" t="s">
        <v>2412</v>
      </c>
      <c r="AZ212" s="642" t="s">
        <v>2413</v>
      </c>
      <c r="BA212" s="115"/>
      <c r="BB212" s="115"/>
      <c r="BC212" s="115"/>
      <c r="BD212" s="115"/>
      <c r="BE212" s="115"/>
      <c r="BF212" s="115"/>
      <c r="BG212" s="115"/>
      <c r="BH212" s="115"/>
      <c r="BI212" s="115"/>
      <c r="CD212" s="108"/>
      <c r="CE212" s="108"/>
      <c r="CF212" s="108"/>
      <c r="DX212" s="1"/>
    </row>
    <row r="213" spans="3:128" ht="19.5" customHeight="1">
      <c r="C213" s="112"/>
      <c r="AC213" s="112"/>
      <c r="AD213" s="112"/>
      <c r="AE213" s="112"/>
      <c r="AF213" s="112"/>
      <c r="AG213" s="112"/>
      <c r="AH213" s="112"/>
      <c r="AI213" s="112"/>
      <c r="AJ213" s="112"/>
      <c r="AK213" s="112"/>
      <c r="AU213" s="173"/>
      <c r="AX213" s="542" t="s">
        <v>2127</v>
      </c>
      <c r="AY213" s="542" t="s">
        <v>2414</v>
      </c>
      <c r="AZ213" s="642" t="s">
        <v>2415</v>
      </c>
      <c r="BA213" s="115"/>
      <c r="BB213" s="115"/>
      <c r="BC213" s="115"/>
      <c r="BD213" s="115"/>
      <c r="BE213" s="115"/>
      <c r="BF213" s="115"/>
      <c r="BG213" s="115"/>
      <c r="BH213" s="115"/>
      <c r="BI213" s="115"/>
      <c r="CD213" s="108"/>
      <c r="CE213" s="108"/>
      <c r="CF213" s="108"/>
      <c r="CS213" s="42"/>
      <c r="CT213" s="42"/>
      <c r="CU213" s="42"/>
      <c r="DX213" s="1"/>
    </row>
    <row r="214" spans="3:128" ht="19.5" customHeight="1">
      <c r="C214" s="112"/>
      <c r="AC214" s="112"/>
      <c r="AD214" s="112"/>
      <c r="AE214" s="112"/>
      <c r="AF214" s="112"/>
      <c r="AG214" s="112"/>
      <c r="AH214" s="112"/>
      <c r="AI214" s="112"/>
      <c r="AJ214" s="112"/>
      <c r="AK214" s="112"/>
      <c r="AU214" s="173"/>
      <c r="AX214" s="542" t="s">
        <v>2128</v>
      </c>
      <c r="AY214" s="542" t="s">
        <v>2416</v>
      </c>
      <c r="AZ214" s="642" t="s">
        <v>2417</v>
      </c>
      <c r="BA214" s="115"/>
      <c r="BB214" s="115"/>
      <c r="BC214" s="115"/>
      <c r="BD214" s="115"/>
      <c r="BE214" s="115"/>
      <c r="BF214" s="115"/>
      <c r="BG214" s="115"/>
      <c r="BH214" s="115"/>
      <c r="BI214" s="115"/>
      <c r="CD214" s="108"/>
      <c r="CE214" s="108"/>
      <c r="CF214" s="108"/>
      <c r="CS214" s="42"/>
      <c r="CT214" s="42"/>
      <c r="CU214" s="42"/>
      <c r="CV214" s="10"/>
      <c r="DX214" s="1"/>
    </row>
    <row r="215" spans="3:128" ht="19.5" customHeight="1">
      <c r="C215" s="112"/>
      <c r="AC215" s="112"/>
      <c r="AD215" s="112"/>
      <c r="AE215" s="112"/>
      <c r="AF215" s="112"/>
      <c r="AG215" s="112"/>
      <c r="AH215" s="112"/>
      <c r="AI215" s="112"/>
      <c r="AJ215" s="112"/>
      <c r="AK215" s="112"/>
      <c r="AU215" s="173"/>
      <c r="AX215" s="542" t="s">
        <v>2129</v>
      </c>
      <c r="AY215" s="542" t="s">
        <v>2418</v>
      </c>
      <c r="AZ215" s="642" t="s">
        <v>2419</v>
      </c>
      <c r="BA215" s="115"/>
      <c r="BB215" s="115"/>
      <c r="BC215" s="115"/>
      <c r="BD215" s="115"/>
      <c r="BE215" s="115"/>
      <c r="BF215" s="115"/>
      <c r="BG215" s="115"/>
      <c r="BH215" s="115"/>
      <c r="BI215" s="115"/>
      <c r="CD215" s="108"/>
      <c r="CE215" s="108"/>
      <c r="CF215" s="108"/>
      <c r="CS215" s="42"/>
      <c r="CT215" s="42"/>
      <c r="CU215" s="42"/>
      <c r="CV215" s="10"/>
      <c r="DX215" s="1"/>
    </row>
    <row r="216" spans="3:128" ht="19.5" customHeight="1">
      <c r="C216" s="112"/>
      <c r="AC216" s="112"/>
      <c r="AD216" s="112"/>
      <c r="AE216" s="112"/>
      <c r="AF216" s="112"/>
      <c r="AG216" s="112"/>
      <c r="AH216" s="112"/>
      <c r="AI216" s="112"/>
      <c r="AJ216" s="112"/>
      <c r="AK216" s="112"/>
      <c r="AU216" s="173"/>
      <c r="AX216" s="542" t="s">
        <v>2130</v>
      </c>
      <c r="AY216" s="542" t="s">
        <v>2420</v>
      </c>
      <c r="AZ216" s="642" t="s">
        <v>2421</v>
      </c>
      <c r="BA216" s="115"/>
      <c r="BB216" s="115"/>
      <c r="BC216" s="115"/>
      <c r="BD216" s="115"/>
      <c r="BE216" s="115"/>
      <c r="BF216" s="115"/>
      <c r="BG216" s="115"/>
      <c r="BH216" s="115"/>
      <c r="BI216" s="115"/>
      <c r="CD216" s="108"/>
      <c r="CE216" s="108"/>
      <c r="CF216" s="108"/>
      <c r="CV216" s="10"/>
    </row>
    <row r="217" spans="3:128" ht="19.5" customHeight="1">
      <c r="C217" s="112"/>
      <c r="AC217" s="112"/>
      <c r="AD217" s="112"/>
      <c r="AE217" s="112"/>
      <c r="AF217" s="112"/>
      <c r="AG217" s="112"/>
      <c r="AH217" s="112"/>
      <c r="AI217" s="112"/>
      <c r="AJ217" s="112"/>
      <c r="AK217" s="112"/>
      <c r="AU217" s="173"/>
      <c r="AX217" s="542" t="s">
        <v>2131</v>
      </c>
      <c r="AY217" s="542" t="s">
        <v>2422</v>
      </c>
      <c r="AZ217" s="642" t="s">
        <v>2423</v>
      </c>
      <c r="BA217" s="115"/>
      <c r="BB217" s="115"/>
      <c r="BC217" s="115"/>
      <c r="BD217" s="115"/>
      <c r="BE217" s="115"/>
      <c r="BF217" s="115"/>
      <c r="BG217" s="115"/>
      <c r="BH217" s="115"/>
      <c r="BI217" s="115"/>
      <c r="CD217" s="108"/>
      <c r="CE217" s="108"/>
      <c r="CF217" s="108"/>
    </row>
    <row r="218" spans="3:128" ht="19.5" customHeight="1">
      <c r="C218" s="112"/>
      <c r="AC218" s="112"/>
      <c r="AD218" s="112"/>
      <c r="AE218" s="112"/>
      <c r="AF218" s="112"/>
      <c r="AG218" s="112"/>
      <c r="AH218" s="112"/>
      <c r="AI218" s="112"/>
      <c r="AJ218" s="112"/>
      <c r="AK218" s="112"/>
      <c r="AU218" s="173"/>
      <c r="AX218" s="542" t="s">
        <v>2132</v>
      </c>
      <c r="AY218" s="542" t="s">
        <v>2424</v>
      </c>
      <c r="AZ218" s="642" t="s">
        <v>2425</v>
      </c>
      <c r="BA218" s="115"/>
      <c r="BB218" s="115"/>
      <c r="BC218" s="115"/>
      <c r="BD218" s="115"/>
      <c r="BE218" s="115"/>
      <c r="BF218" s="115"/>
      <c r="BG218" s="115"/>
      <c r="BH218" s="115"/>
      <c r="BI218" s="115"/>
      <c r="CD218" s="108"/>
      <c r="CE218" s="108"/>
      <c r="CF218" s="108"/>
    </row>
    <row r="219" spans="3:128" ht="19.5" customHeight="1">
      <c r="C219" s="112"/>
      <c r="AC219" s="112"/>
      <c r="AD219" s="112"/>
      <c r="AE219" s="112"/>
      <c r="AF219" s="112"/>
      <c r="AG219" s="112"/>
      <c r="AH219" s="112"/>
      <c r="AI219" s="112"/>
      <c r="AJ219" s="112"/>
      <c r="AK219" s="112"/>
      <c r="AU219" s="173"/>
      <c r="AX219" s="542" t="s">
        <v>2133</v>
      </c>
      <c r="AY219" s="542" t="s">
        <v>2426</v>
      </c>
      <c r="AZ219" s="642" t="s">
        <v>2427</v>
      </c>
      <c r="BA219" s="115"/>
      <c r="BB219" s="115"/>
      <c r="BC219" s="115"/>
      <c r="BD219" s="115"/>
      <c r="BE219" s="115"/>
      <c r="BF219" s="115"/>
      <c r="BG219" s="115"/>
      <c r="BH219" s="115"/>
      <c r="BI219" s="115"/>
      <c r="CD219" s="108"/>
      <c r="CE219" s="108"/>
      <c r="CF219" s="108"/>
      <c r="DX219" s="1"/>
    </row>
    <row r="220" spans="3:128" ht="19.5" customHeight="1">
      <c r="C220" s="112"/>
      <c r="AC220" s="112"/>
      <c r="AD220" s="112"/>
      <c r="AE220" s="112"/>
      <c r="AF220" s="112"/>
      <c r="AG220" s="112"/>
      <c r="AH220" s="112"/>
      <c r="AI220" s="112"/>
      <c r="AJ220" s="112"/>
      <c r="AK220" s="112"/>
      <c r="AU220" s="173"/>
      <c r="AX220" s="542" t="s">
        <v>2134</v>
      </c>
      <c r="AY220" s="542" t="s">
        <v>2428</v>
      </c>
      <c r="AZ220" s="642" t="s">
        <v>2429</v>
      </c>
      <c r="BA220" s="115"/>
      <c r="BB220" s="115"/>
      <c r="BC220" s="115"/>
      <c r="BD220" s="115"/>
      <c r="BE220" s="115"/>
      <c r="BF220" s="115"/>
      <c r="BG220" s="115"/>
      <c r="BH220" s="115"/>
      <c r="BI220" s="115"/>
      <c r="CD220" s="108"/>
      <c r="CE220" s="108"/>
      <c r="CF220" s="108"/>
      <c r="CL220" s="2"/>
      <c r="CM220" s="2"/>
      <c r="CN220" s="2"/>
      <c r="DX220" s="1"/>
    </row>
    <row r="221" spans="3:128" ht="19.5" customHeight="1">
      <c r="C221" s="112"/>
      <c r="AC221" s="112"/>
      <c r="AD221" s="112"/>
      <c r="AE221" s="112"/>
      <c r="AF221" s="112"/>
      <c r="AG221" s="112"/>
      <c r="AH221" s="112"/>
      <c r="AI221" s="112"/>
      <c r="AJ221" s="112"/>
      <c r="AK221" s="112"/>
      <c r="AU221" s="173"/>
      <c r="AX221" s="542" t="s">
        <v>2135</v>
      </c>
      <c r="AY221" s="542" t="s">
        <v>2430</v>
      </c>
      <c r="AZ221" s="640" t="s">
        <v>2431</v>
      </c>
      <c r="BA221" s="115"/>
      <c r="BB221" s="115"/>
      <c r="BC221" s="115"/>
      <c r="BD221" s="115"/>
      <c r="BE221" s="115"/>
      <c r="BF221" s="115"/>
      <c r="BG221" s="115"/>
      <c r="BH221" s="115"/>
      <c r="BI221" s="115"/>
      <c r="CD221" s="108"/>
      <c r="CE221" s="108"/>
      <c r="CF221" s="108"/>
      <c r="CH221" s="3"/>
      <c r="CI221" s="3"/>
      <c r="CL221" s="2"/>
      <c r="CM221" s="2"/>
      <c r="CN221" s="2"/>
      <c r="DX221" s="1"/>
    </row>
    <row r="222" spans="3:128" ht="19.5" customHeight="1">
      <c r="C222" s="112"/>
      <c r="AC222" s="112"/>
      <c r="AD222" s="112"/>
      <c r="AE222" s="112"/>
      <c r="AF222" s="112"/>
      <c r="AG222" s="112"/>
      <c r="AH222" s="112"/>
      <c r="AI222" s="112"/>
      <c r="AJ222" s="112"/>
      <c r="AK222" s="112"/>
      <c r="AU222" s="173"/>
      <c r="AX222" s="542" t="s">
        <v>2136</v>
      </c>
      <c r="AY222" s="542" t="s">
        <v>2432</v>
      </c>
      <c r="AZ222" s="114"/>
      <c r="BA222" s="115"/>
      <c r="BB222" s="115"/>
      <c r="BC222" s="115"/>
      <c r="BD222" s="115"/>
      <c r="BE222" s="115"/>
      <c r="BF222" s="115"/>
      <c r="BG222" s="115"/>
      <c r="BH222" s="115"/>
      <c r="BI222" s="115"/>
      <c r="CD222" s="108"/>
      <c r="CE222" s="108"/>
      <c r="CF222" s="108"/>
      <c r="CH222" s="3"/>
      <c r="CI222" s="3"/>
      <c r="CL222" s="2"/>
      <c r="CM222" s="2"/>
      <c r="CN222" s="2"/>
      <c r="DX222" s="1"/>
    </row>
    <row r="223" spans="3:128" ht="19.5" customHeight="1">
      <c r="C223" s="112"/>
      <c r="AC223" s="112"/>
      <c r="AD223" s="112"/>
      <c r="AE223" s="112"/>
      <c r="AF223" s="112"/>
      <c r="AG223" s="112"/>
      <c r="AH223" s="112"/>
      <c r="AI223" s="112"/>
      <c r="AJ223" s="112"/>
      <c r="AK223" s="112"/>
      <c r="AU223" s="173"/>
      <c r="AX223" s="542" t="s">
        <v>2137</v>
      </c>
      <c r="AY223" s="542" t="s">
        <v>2433</v>
      </c>
      <c r="AZ223" s="114"/>
      <c r="BA223" s="115"/>
      <c r="BB223" s="115"/>
      <c r="BC223" s="115"/>
      <c r="BD223" s="115"/>
      <c r="BE223" s="115"/>
      <c r="BF223" s="115"/>
      <c r="BG223" s="115"/>
      <c r="BH223" s="115"/>
      <c r="BI223" s="115"/>
      <c r="CD223" s="108"/>
      <c r="CE223" s="108"/>
      <c r="CF223" s="108"/>
      <c r="CH223" s="3"/>
      <c r="CI223" s="3"/>
      <c r="DX223" s="1"/>
    </row>
    <row r="224" spans="3:128" ht="19.5" customHeight="1">
      <c r="C224" s="112"/>
      <c r="AC224" s="112"/>
      <c r="AD224" s="112"/>
      <c r="AE224" s="112"/>
      <c r="AF224" s="112"/>
      <c r="AG224" s="112"/>
      <c r="AH224" s="112"/>
      <c r="AI224" s="112"/>
      <c r="AJ224" s="112"/>
      <c r="AK224" s="112"/>
      <c r="AU224" s="173"/>
      <c r="AX224" s="542" t="s">
        <v>2138</v>
      </c>
      <c r="AY224" s="542" t="s">
        <v>2434</v>
      </c>
      <c r="AZ224" s="114"/>
      <c r="BA224" s="115"/>
      <c r="BB224" s="115"/>
      <c r="BC224" s="115"/>
      <c r="BD224" s="115"/>
      <c r="BE224" s="115"/>
      <c r="BF224" s="115"/>
      <c r="BG224" s="115"/>
      <c r="BH224" s="115"/>
      <c r="BI224" s="115"/>
      <c r="CD224" s="108"/>
      <c r="CE224" s="108"/>
      <c r="CF224" s="108"/>
      <c r="DX224" s="1"/>
    </row>
    <row r="225" spans="3:128" ht="19.5" customHeight="1">
      <c r="C225" s="112"/>
      <c r="AC225" s="112"/>
      <c r="AD225" s="112"/>
      <c r="AE225" s="112"/>
      <c r="AF225" s="112"/>
      <c r="AG225" s="112"/>
      <c r="AH225" s="112"/>
      <c r="AI225" s="112"/>
      <c r="AJ225" s="112"/>
      <c r="AK225" s="112"/>
      <c r="AU225" s="173"/>
      <c r="AX225" s="542" t="s">
        <v>2139</v>
      </c>
      <c r="AY225" s="542" t="s">
        <v>2435</v>
      </c>
      <c r="AZ225" s="114"/>
      <c r="BA225" s="115"/>
      <c r="BB225" s="115"/>
      <c r="BC225" s="115"/>
      <c r="BD225" s="115"/>
      <c r="BE225" s="115"/>
      <c r="BF225" s="115"/>
      <c r="BG225" s="115"/>
      <c r="BH225" s="115"/>
      <c r="BI225" s="115"/>
      <c r="CD225" s="108"/>
      <c r="CE225" s="108"/>
      <c r="CF225" s="108"/>
      <c r="DX225" s="1"/>
    </row>
    <row r="226" spans="3:128" ht="19.5" customHeight="1">
      <c r="C226" s="112"/>
      <c r="AC226" s="112"/>
      <c r="AD226" s="112"/>
      <c r="AE226" s="112"/>
      <c r="AF226" s="112"/>
      <c r="AG226" s="112"/>
      <c r="AH226" s="112"/>
      <c r="AI226" s="112"/>
      <c r="AJ226" s="112"/>
      <c r="AK226" s="112"/>
      <c r="AU226" s="173"/>
      <c r="AX226" s="542" t="s">
        <v>2140</v>
      </c>
      <c r="AY226" s="545" t="s">
        <v>2436</v>
      </c>
      <c r="AZ226" s="114"/>
      <c r="BA226" s="115"/>
      <c r="BB226" s="115"/>
      <c r="BC226" s="115"/>
      <c r="BD226" s="115"/>
      <c r="BE226" s="115"/>
      <c r="BF226" s="115"/>
      <c r="BG226" s="115"/>
      <c r="BH226" s="115"/>
      <c r="BI226" s="115"/>
      <c r="CD226" s="108"/>
      <c r="CE226" s="108"/>
      <c r="CF226" s="108"/>
      <c r="DX226" s="1"/>
    </row>
    <row r="227" spans="3:128" ht="19.5" customHeight="1">
      <c r="AL227" s="143"/>
      <c r="AX227" s="542" t="s">
        <v>2141</v>
      </c>
      <c r="CD227" s="108"/>
      <c r="CE227" s="108"/>
      <c r="CF227" s="108"/>
      <c r="DX227" s="1"/>
    </row>
    <row r="228" spans="3:128" ht="19.5" customHeight="1">
      <c r="AL228" s="143"/>
      <c r="AX228" s="542" t="s">
        <v>2142</v>
      </c>
      <c r="CD228" s="108"/>
      <c r="CE228" s="108"/>
      <c r="CF228" s="108"/>
      <c r="DX228" s="1"/>
    </row>
    <row r="229" spans="3:128" ht="19.5" customHeight="1">
      <c r="AL229" s="143"/>
      <c r="AX229" s="542" t="s">
        <v>2143</v>
      </c>
      <c r="CD229" s="108"/>
      <c r="CE229" s="109"/>
      <c r="DX229" s="1"/>
    </row>
    <row r="230" spans="3:128" ht="19.5" customHeight="1">
      <c r="AL230" s="143"/>
      <c r="AX230" s="542" t="s">
        <v>2144</v>
      </c>
      <c r="CD230" s="108"/>
      <c r="CE230" s="109"/>
      <c r="DX230" s="1"/>
    </row>
    <row r="231" spans="3:128" ht="19.5" customHeight="1">
      <c r="AL231" s="143"/>
      <c r="AX231" s="542" t="s">
        <v>2145</v>
      </c>
      <c r="CD231" s="108"/>
      <c r="CE231" s="109"/>
      <c r="DX231" s="1"/>
    </row>
    <row r="232" spans="3:128" ht="19.5" customHeight="1">
      <c r="AL232" s="143"/>
      <c r="AX232" s="542" t="s">
        <v>2146</v>
      </c>
      <c r="CD232" s="108"/>
      <c r="CE232" s="109"/>
      <c r="DX232" s="1"/>
    </row>
    <row r="233" spans="3:128" ht="19.5" customHeight="1">
      <c r="AL233" s="143"/>
      <c r="AX233" s="545" t="s">
        <v>2147</v>
      </c>
      <c r="CD233" s="108"/>
      <c r="CE233" s="109"/>
      <c r="DX233" s="1"/>
    </row>
    <row r="234" spans="3:128" ht="19.5" customHeight="1">
      <c r="AL234" s="143"/>
      <c r="CD234" s="662"/>
      <c r="CE234" s="663"/>
      <c r="CF234" s="664"/>
      <c r="DX234" s="1"/>
    </row>
    <row r="235" spans="3:128" ht="19.5" customHeight="1">
      <c r="AL235" s="143"/>
      <c r="AX235" s="114" t="s">
        <v>2437</v>
      </c>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7"/>
      <c r="DX235" s="1"/>
    </row>
    <row r="236" spans="3:128" ht="19.5" customHeight="1">
      <c r="AL236" s="143"/>
      <c r="AX236" s="539" t="s">
        <v>1028</v>
      </c>
      <c r="AY236" s="539" t="s">
        <v>2438</v>
      </c>
      <c r="AZ236" s="539" t="s">
        <v>2439</v>
      </c>
      <c r="BA236" s="541" t="s">
        <v>2440</v>
      </c>
      <c r="BB236" s="541" t="s">
        <v>2441</v>
      </c>
      <c r="BC236" s="541" t="s">
        <v>2442</v>
      </c>
      <c r="BD236" s="541" t="s">
        <v>2443</v>
      </c>
      <c r="BE236" s="541" t="s">
        <v>2444</v>
      </c>
      <c r="BF236" s="541" t="s">
        <v>2445</v>
      </c>
      <c r="BG236" s="541" t="s">
        <v>2446</v>
      </c>
      <c r="BH236" s="541" t="s">
        <v>2447</v>
      </c>
      <c r="BI236" s="541" t="s">
        <v>2448</v>
      </c>
      <c r="BJ236" s="541" t="s">
        <v>2449</v>
      </c>
      <c r="BK236" s="541" t="s">
        <v>2450</v>
      </c>
      <c r="BL236" s="541" t="s">
        <v>2451</v>
      </c>
      <c r="BM236" s="541" t="s">
        <v>2452</v>
      </c>
      <c r="BN236" s="541" t="s">
        <v>2453</v>
      </c>
      <c r="BO236" s="541" t="s">
        <v>2454</v>
      </c>
      <c r="BP236" s="541" t="s">
        <v>2455</v>
      </c>
      <c r="BQ236" s="541" t="s">
        <v>2456</v>
      </c>
      <c r="BR236" s="541" t="s">
        <v>2457</v>
      </c>
      <c r="BS236" s="541" t="s">
        <v>2458</v>
      </c>
      <c r="BT236" s="541" t="s">
        <v>2459</v>
      </c>
      <c r="BU236" s="541" t="s">
        <v>2460</v>
      </c>
      <c r="BV236" s="541" t="s">
        <v>2461</v>
      </c>
      <c r="BW236" s="541" t="s">
        <v>2462</v>
      </c>
      <c r="BX236" s="541" t="s">
        <v>2463</v>
      </c>
      <c r="BY236" s="541" t="s">
        <v>2464</v>
      </c>
      <c r="BZ236" s="540" t="s">
        <v>2465</v>
      </c>
      <c r="CA236" s="540" t="s">
        <v>2466</v>
      </c>
      <c r="CB236" s="643" t="s">
        <v>2467</v>
      </c>
      <c r="CC236" s="541" t="s">
        <v>2468</v>
      </c>
      <c r="CD236" s="644" t="s">
        <v>2469</v>
      </c>
      <c r="CE236" s="645" t="s">
        <v>2470</v>
      </c>
      <c r="CF236" s="541" t="s">
        <v>2080</v>
      </c>
      <c r="DX236" s="1"/>
    </row>
    <row r="237" spans="3:128" ht="19.5" customHeight="1">
      <c r="AL237" s="143"/>
      <c r="AX237" s="543" t="s">
        <v>2073</v>
      </c>
      <c r="AY237" s="543" t="s">
        <v>2073</v>
      </c>
      <c r="AZ237" s="636" t="s">
        <v>2073</v>
      </c>
      <c r="BA237" s="646" t="s">
        <v>2073</v>
      </c>
      <c r="BB237" s="647" t="s">
        <v>2073</v>
      </c>
      <c r="BC237" s="647" t="s">
        <v>2073</v>
      </c>
      <c r="BD237" s="647" t="s">
        <v>2073</v>
      </c>
      <c r="BE237" s="646" t="s">
        <v>2073</v>
      </c>
      <c r="BF237" s="646" t="s">
        <v>2073</v>
      </c>
      <c r="BG237" s="647" t="s">
        <v>2073</v>
      </c>
      <c r="BH237" s="646" t="s">
        <v>2073</v>
      </c>
      <c r="BI237" s="647" t="s">
        <v>2073</v>
      </c>
      <c r="BJ237" s="646" t="s">
        <v>2073</v>
      </c>
      <c r="BK237" s="646" t="s">
        <v>2073</v>
      </c>
      <c r="BL237" s="647" t="s">
        <v>2073</v>
      </c>
      <c r="BM237" s="647" t="s">
        <v>2073</v>
      </c>
      <c r="BN237" s="646" t="s">
        <v>2073</v>
      </c>
      <c r="BO237" s="646" t="s">
        <v>2073</v>
      </c>
      <c r="BP237" s="646" t="s">
        <v>2073</v>
      </c>
      <c r="BQ237" s="646" t="s">
        <v>2073</v>
      </c>
      <c r="BR237" s="647" t="s">
        <v>2073</v>
      </c>
      <c r="BS237" s="647" t="s">
        <v>2073</v>
      </c>
      <c r="BT237" s="646" t="s">
        <v>2073</v>
      </c>
      <c r="BU237" s="646" t="s">
        <v>2073</v>
      </c>
      <c r="BV237" s="647" t="s">
        <v>2073</v>
      </c>
      <c r="BW237" s="647" t="s">
        <v>2073</v>
      </c>
      <c r="BX237" s="647" t="s">
        <v>2073</v>
      </c>
      <c r="BY237" s="646" t="s">
        <v>2073</v>
      </c>
      <c r="BZ237" s="638" t="s">
        <v>2073</v>
      </c>
      <c r="CA237" s="638" t="s">
        <v>2073</v>
      </c>
      <c r="CB237" s="648" t="s">
        <v>2073</v>
      </c>
      <c r="CC237" s="647" t="s">
        <v>2073</v>
      </c>
      <c r="CD237" s="649" t="s">
        <v>2073</v>
      </c>
      <c r="CE237" s="650" t="s">
        <v>2073</v>
      </c>
      <c r="CF237" s="640" t="s">
        <v>2073</v>
      </c>
      <c r="DX237" s="1"/>
    </row>
    <row r="238" spans="3:128" ht="19.5" customHeight="1">
      <c r="AL238" s="143"/>
      <c r="AX238" s="542" t="s">
        <v>2471</v>
      </c>
      <c r="AY238" s="542" t="s">
        <v>2472</v>
      </c>
      <c r="AZ238" s="544" t="s">
        <v>2473</v>
      </c>
      <c r="BA238" s="547" t="s">
        <v>2474</v>
      </c>
      <c r="BB238" s="546" t="s">
        <v>2475</v>
      </c>
      <c r="BC238" s="546" t="s">
        <v>2476</v>
      </c>
      <c r="BD238" s="546" t="s">
        <v>2477</v>
      </c>
      <c r="BE238" s="547" t="s">
        <v>2478</v>
      </c>
      <c r="BF238" s="547" t="s">
        <v>2479</v>
      </c>
      <c r="BG238" s="546" t="s">
        <v>2480</v>
      </c>
      <c r="BH238" s="547" t="s">
        <v>2481</v>
      </c>
      <c r="BI238" s="546" t="s">
        <v>2482</v>
      </c>
      <c r="BJ238" s="547" t="s">
        <v>2483</v>
      </c>
      <c r="BK238" s="547" t="s">
        <v>2484</v>
      </c>
      <c r="BL238" s="546" t="s">
        <v>2485</v>
      </c>
      <c r="BM238" s="546" t="s">
        <v>2486</v>
      </c>
      <c r="BN238" s="547" t="s">
        <v>2487</v>
      </c>
      <c r="BO238" s="547" t="s">
        <v>2488</v>
      </c>
      <c r="BP238" s="547" t="s">
        <v>2489</v>
      </c>
      <c r="BQ238" s="547" t="s">
        <v>2490</v>
      </c>
      <c r="BR238" s="546" t="s">
        <v>2491</v>
      </c>
      <c r="BS238" s="546" t="s">
        <v>2492</v>
      </c>
      <c r="BT238" s="547" t="s">
        <v>2493</v>
      </c>
      <c r="BU238" s="547" t="s">
        <v>2494</v>
      </c>
      <c r="BV238" s="546" t="s">
        <v>2495</v>
      </c>
      <c r="BW238" s="546" t="s">
        <v>2496</v>
      </c>
      <c r="BX238" s="546" t="s">
        <v>2497</v>
      </c>
      <c r="BY238" s="547" t="s">
        <v>2498</v>
      </c>
      <c r="BZ238" s="651" t="s">
        <v>2499</v>
      </c>
      <c r="CA238" s="651" t="s">
        <v>2500</v>
      </c>
      <c r="CB238" s="652" t="s">
        <v>2501</v>
      </c>
      <c r="CC238" s="546" t="s">
        <v>2502</v>
      </c>
      <c r="CD238" s="653" t="s">
        <v>2503</v>
      </c>
      <c r="CE238" s="654" t="s">
        <v>2504</v>
      </c>
      <c r="CF238" s="117"/>
      <c r="DX238" s="1"/>
    </row>
    <row r="239" spans="3:128" ht="19.5" customHeight="1">
      <c r="AL239" s="143"/>
      <c r="AX239" s="542" t="s">
        <v>2505</v>
      </c>
      <c r="AY239" s="542" t="s">
        <v>2506</v>
      </c>
      <c r="AZ239" s="637" t="s">
        <v>2507</v>
      </c>
      <c r="BA239" s="547" t="s">
        <v>2508</v>
      </c>
      <c r="BB239" s="546" t="s">
        <v>2509</v>
      </c>
      <c r="BC239" s="546" t="s">
        <v>2510</v>
      </c>
      <c r="BD239" s="546" t="s">
        <v>2511</v>
      </c>
      <c r="BE239" s="547" t="s">
        <v>2512</v>
      </c>
      <c r="BF239" s="547" t="s">
        <v>2513</v>
      </c>
      <c r="BG239" s="546" t="s">
        <v>2514</v>
      </c>
      <c r="BH239" s="547" t="s">
        <v>2515</v>
      </c>
      <c r="BI239" s="546" t="s">
        <v>2516</v>
      </c>
      <c r="BJ239" s="547" t="s">
        <v>2517</v>
      </c>
      <c r="BK239" s="547" t="s">
        <v>2518</v>
      </c>
      <c r="BL239" s="546" t="s">
        <v>2519</v>
      </c>
      <c r="BM239" s="546" t="s">
        <v>2520</v>
      </c>
      <c r="BN239" s="547" t="s">
        <v>2521</v>
      </c>
      <c r="BO239" s="547" t="s">
        <v>2522</v>
      </c>
      <c r="BP239" s="547" t="s">
        <v>2523</v>
      </c>
      <c r="BQ239" s="547" t="s">
        <v>2524</v>
      </c>
      <c r="BR239" s="546" t="s">
        <v>2525</v>
      </c>
      <c r="BS239" s="546" t="s">
        <v>2526</v>
      </c>
      <c r="BT239" s="547" t="s">
        <v>2527</v>
      </c>
      <c r="BU239" s="547" t="s">
        <v>2528</v>
      </c>
      <c r="BV239" s="546" t="s">
        <v>2529</v>
      </c>
      <c r="BW239" s="546" t="s">
        <v>2530</v>
      </c>
      <c r="BX239" s="546" t="s">
        <v>2531</v>
      </c>
      <c r="BY239" s="547" t="s">
        <v>2532</v>
      </c>
      <c r="BZ239" s="651" t="s">
        <v>2533</v>
      </c>
      <c r="CA239" s="651" t="s">
        <v>2534</v>
      </c>
      <c r="CB239" s="511"/>
      <c r="CC239" s="548" t="s">
        <v>2535</v>
      </c>
      <c r="CD239" s="653" t="s">
        <v>2536</v>
      </c>
      <c r="CE239" s="654" t="s">
        <v>2537</v>
      </c>
      <c r="CF239" s="117"/>
      <c r="DX239" s="1"/>
    </row>
    <row r="240" spans="3:128" ht="19.5" customHeight="1">
      <c r="AL240" s="143"/>
      <c r="AX240" s="542" t="s">
        <v>2538</v>
      </c>
      <c r="AY240" s="542" t="s">
        <v>2539</v>
      </c>
      <c r="AZ240" s="114"/>
      <c r="BA240" s="547" t="s">
        <v>2540</v>
      </c>
      <c r="BB240" s="546" t="s">
        <v>2541</v>
      </c>
      <c r="BC240" s="546" t="s">
        <v>2542</v>
      </c>
      <c r="BD240" s="546" t="s">
        <v>2543</v>
      </c>
      <c r="BE240" s="547" t="s">
        <v>2544</v>
      </c>
      <c r="BF240" s="547" t="s">
        <v>2545</v>
      </c>
      <c r="BG240" s="546" t="s">
        <v>2546</v>
      </c>
      <c r="BH240" s="547" t="s">
        <v>2547</v>
      </c>
      <c r="BI240" s="546" t="s">
        <v>2548</v>
      </c>
      <c r="BJ240" s="547" t="s">
        <v>2549</v>
      </c>
      <c r="BK240" s="547" t="s">
        <v>2550</v>
      </c>
      <c r="BL240" s="546" t="s">
        <v>2551</v>
      </c>
      <c r="BM240" s="546" t="s">
        <v>2552</v>
      </c>
      <c r="BN240" s="547" t="s">
        <v>2553</v>
      </c>
      <c r="BO240" s="547" t="s">
        <v>2554</v>
      </c>
      <c r="BP240" s="547" t="s">
        <v>2555</v>
      </c>
      <c r="BQ240" s="547" t="s">
        <v>2556</v>
      </c>
      <c r="BR240" s="546" t="s">
        <v>2557</v>
      </c>
      <c r="BS240" s="546" t="s">
        <v>2558</v>
      </c>
      <c r="BT240" s="547" t="s">
        <v>2559</v>
      </c>
      <c r="BU240" s="547" t="s">
        <v>2560</v>
      </c>
      <c r="BV240" s="548" t="s">
        <v>2561</v>
      </c>
      <c r="BW240" s="546" t="s">
        <v>2562</v>
      </c>
      <c r="BX240" s="546" t="s">
        <v>2563</v>
      </c>
      <c r="BY240" s="547" t="s">
        <v>2564</v>
      </c>
      <c r="BZ240" s="651" t="s">
        <v>2565</v>
      </c>
      <c r="CA240" s="651" t="s">
        <v>2566</v>
      </c>
      <c r="CB240" s="511"/>
      <c r="CC240" s="115"/>
      <c r="CD240" s="653" t="s">
        <v>2567</v>
      </c>
      <c r="CE240" s="654" t="s">
        <v>2568</v>
      </c>
      <c r="CF240" s="117"/>
      <c r="DX240" s="1"/>
    </row>
    <row r="241" spans="38:128" ht="19.5" customHeight="1">
      <c r="AL241" s="143"/>
      <c r="AX241" s="542" t="s">
        <v>2569</v>
      </c>
      <c r="AY241" s="545" t="s">
        <v>2570</v>
      </c>
      <c r="AZ241" s="114"/>
      <c r="BA241" s="547" t="s">
        <v>2571</v>
      </c>
      <c r="BB241" s="546" t="s">
        <v>2572</v>
      </c>
      <c r="BC241" s="546" t="s">
        <v>2573</v>
      </c>
      <c r="BD241" s="546" t="s">
        <v>2574</v>
      </c>
      <c r="BE241" s="547" t="s">
        <v>2575</v>
      </c>
      <c r="BF241" s="547" t="s">
        <v>2576</v>
      </c>
      <c r="BG241" s="546" t="s">
        <v>2577</v>
      </c>
      <c r="BH241" s="547" t="s">
        <v>2578</v>
      </c>
      <c r="BI241" s="546" t="s">
        <v>2579</v>
      </c>
      <c r="BJ241" s="547" t="s">
        <v>2580</v>
      </c>
      <c r="BK241" s="547" t="s">
        <v>2581</v>
      </c>
      <c r="BL241" s="546" t="s">
        <v>2582</v>
      </c>
      <c r="BM241" s="546" t="s">
        <v>2583</v>
      </c>
      <c r="BN241" s="547" t="s">
        <v>2584</v>
      </c>
      <c r="BO241" s="547" t="s">
        <v>2585</v>
      </c>
      <c r="BP241" s="547" t="s">
        <v>2586</v>
      </c>
      <c r="BQ241" s="547" t="s">
        <v>2587</v>
      </c>
      <c r="BR241" s="546" t="s">
        <v>2588</v>
      </c>
      <c r="BS241" s="546" t="s">
        <v>2589</v>
      </c>
      <c r="BT241" s="547" t="s">
        <v>2590</v>
      </c>
      <c r="BU241" s="547" t="s">
        <v>2591</v>
      </c>
      <c r="BV241" s="115"/>
      <c r="BW241" s="548" t="s">
        <v>2592</v>
      </c>
      <c r="BX241" s="546" t="s">
        <v>2593</v>
      </c>
      <c r="BY241" s="547" t="s">
        <v>2594</v>
      </c>
      <c r="BZ241" s="651" t="s">
        <v>2595</v>
      </c>
      <c r="CA241" s="655" t="s">
        <v>2596</v>
      </c>
      <c r="CB241" s="511"/>
      <c r="CC241" s="115"/>
      <c r="CD241" s="656" t="s">
        <v>2597</v>
      </c>
      <c r="CE241" s="657" t="s">
        <v>2598</v>
      </c>
      <c r="CF241" s="117"/>
      <c r="DX241" s="1"/>
    </row>
    <row r="242" spans="38:128" ht="19.5" customHeight="1">
      <c r="AL242" s="143"/>
      <c r="AX242" s="542" t="s">
        <v>2599</v>
      </c>
      <c r="AY242" s="114"/>
      <c r="AZ242" s="114"/>
      <c r="BA242" s="547" t="s">
        <v>2600</v>
      </c>
      <c r="BB242" s="546" t="s">
        <v>2601</v>
      </c>
      <c r="BC242" s="546" t="s">
        <v>2602</v>
      </c>
      <c r="BD242" s="546" t="s">
        <v>2603</v>
      </c>
      <c r="BE242" s="547" t="s">
        <v>2604</v>
      </c>
      <c r="BF242" s="547" t="s">
        <v>2605</v>
      </c>
      <c r="BG242" s="546" t="s">
        <v>2606</v>
      </c>
      <c r="BH242" s="547" t="s">
        <v>2607</v>
      </c>
      <c r="BI242" s="546" t="s">
        <v>2608</v>
      </c>
      <c r="BJ242" s="547" t="s">
        <v>2609</v>
      </c>
      <c r="BK242" s="547" t="s">
        <v>2610</v>
      </c>
      <c r="BL242" s="546" t="s">
        <v>2611</v>
      </c>
      <c r="BM242" s="546" t="s">
        <v>2612</v>
      </c>
      <c r="BN242" s="547" t="s">
        <v>2613</v>
      </c>
      <c r="BO242" s="547" t="s">
        <v>2614</v>
      </c>
      <c r="BP242" s="547" t="s">
        <v>2615</v>
      </c>
      <c r="BQ242" s="547" t="s">
        <v>2616</v>
      </c>
      <c r="BR242" s="546" t="s">
        <v>2617</v>
      </c>
      <c r="BS242" s="546" t="s">
        <v>2618</v>
      </c>
      <c r="BT242" s="547" t="s">
        <v>2619</v>
      </c>
      <c r="BU242" s="547" t="s">
        <v>2620</v>
      </c>
      <c r="BV242" s="115"/>
      <c r="BW242" s="115"/>
      <c r="BX242" s="546" t="s">
        <v>2621</v>
      </c>
      <c r="BY242" s="547" t="s">
        <v>2622</v>
      </c>
      <c r="BZ242" s="651" t="s">
        <v>2623</v>
      </c>
      <c r="CA242" s="658"/>
      <c r="CB242" s="511"/>
      <c r="CC242" s="115"/>
      <c r="CD242" s="117"/>
      <c r="CE242" s="117"/>
      <c r="CF242" s="117"/>
      <c r="DX242" s="1"/>
    </row>
    <row r="243" spans="38:128" ht="19.5" customHeight="1">
      <c r="AL243" s="143"/>
      <c r="AX243" s="542" t="s">
        <v>2624</v>
      </c>
      <c r="AY243" s="114"/>
      <c r="AZ243" s="114"/>
      <c r="BA243" s="547" t="s">
        <v>2625</v>
      </c>
      <c r="BB243" s="546" t="s">
        <v>2626</v>
      </c>
      <c r="BC243" s="546" t="s">
        <v>2627</v>
      </c>
      <c r="BD243" s="546" t="s">
        <v>2628</v>
      </c>
      <c r="BE243" s="547" t="s">
        <v>2629</v>
      </c>
      <c r="BF243" s="547" t="s">
        <v>2630</v>
      </c>
      <c r="BG243" s="546" t="s">
        <v>2631</v>
      </c>
      <c r="BH243" s="547" t="s">
        <v>2632</v>
      </c>
      <c r="BI243" s="546" t="s">
        <v>2633</v>
      </c>
      <c r="BJ243" s="547" t="s">
        <v>2634</v>
      </c>
      <c r="BK243" s="547" t="s">
        <v>2635</v>
      </c>
      <c r="BL243" s="546" t="s">
        <v>2636</v>
      </c>
      <c r="BM243" s="546" t="s">
        <v>2637</v>
      </c>
      <c r="BN243" s="547" t="s">
        <v>2638</v>
      </c>
      <c r="BO243" s="547" t="s">
        <v>2639</v>
      </c>
      <c r="BP243" s="547" t="s">
        <v>2640</v>
      </c>
      <c r="BQ243" s="547" t="s">
        <v>2641</v>
      </c>
      <c r="BR243" s="548" t="s">
        <v>2642</v>
      </c>
      <c r="BS243" s="546" t="s">
        <v>2643</v>
      </c>
      <c r="BT243" s="547" t="s">
        <v>2644</v>
      </c>
      <c r="BU243" s="547" t="s">
        <v>2645</v>
      </c>
      <c r="BV243" s="115"/>
      <c r="BW243" s="115"/>
      <c r="BX243" s="546" t="s">
        <v>2646</v>
      </c>
      <c r="BY243" s="547" t="s">
        <v>2647</v>
      </c>
      <c r="BZ243" s="651" t="s">
        <v>2648</v>
      </c>
      <c r="CA243" s="658"/>
      <c r="CB243" s="511"/>
      <c r="CC243" s="115"/>
      <c r="CD243" s="117"/>
      <c r="CE243" s="117"/>
      <c r="CF243" s="117"/>
      <c r="DX243" s="1"/>
    </row>
    <row r="244" spans="38:128" ht="19.5" customHeight="1">
      <c r="AL244" s="143"/>
      <c r="AX244" s="542" t="s">
        <v>2649</v>
      </c>
      <c r="AY244" s="114"/>
      <c r="AZ244" s="114"/>
      <c r="BA244" s="547" t="s">
        <v>2650</v>
      </c>
      <c r="BB244" s="546" t="s">
        <v>2651</v>
      </c>
      <c r="BC244" s="546" t="s">
        <v>2652</v>
      </c>
      <c r="BD244" s="546" t="s">
        <v>2653</v>
      </c>
      <c r="BE244" s="547" t="s">
        <v>2654</v>
      </c>
      <c r="BF244" s="547" t="s">
        <v>2655</v>
      </c>
      <c r="BG244" s="546" t="s">
        <v>2656</v>
      </c>
      <c r="BH244" s="547" t="s">
        <v>2657</v>
      </c>
      <c r="BI244" s="546" t="s">
        <v>2658</v>
      </c>
      <c r="BJ244" s="547" t="s">
        <v>2659</v>
      </c>
      <c r="BK244" s="547" t="s">
        <v>2660</v>
      </c>
      <c r="BL244" s="546" t="s">
        <v>2661</v>
      </c>
      <c r="BM244" s="546" t="s">
        <v>2662</v>
      </c>
      <c r="BN244" s="547" t="s">
        <v>2663</v>
      </c>
      <c r="BO244" s="547" t="s">
        <v>2664</v>
      </c>
      <c r="BP244" s="547" t="s">
        <v>2665</v>
      </c>
      <c r="BQ244" s="547" t="s">
        <v>2666</v>
      </c>
      <c r="BR244" s="115"/>
      <c r="BS244" s="546" t="s">
        <v>2667</v>
      </c>
      <c r="BT244" s="547" t="s">
        <v>2668</v>
      </c>
      <c r="BU244" s="547" t="s">
        <v>2669</v>
      </c>
      <c r="BV244" s="115"/>
      <c r="BW244" s="115"/>
      <c r="BX244" s="546" t="s">
        <v>2670</v>
      </c>
      <c r="BY244" s="547" t="s">
        <v>2671</v>
      </c>
      <c r="BZ244" s="651" t="s">
        <v>2672</v>
      </c>
      <c r="CA244" s="658"/>
      <c r="CB244" s="511"/>
      <c r="CC244" s="115"/>
      <c r="CD244" s="117"/>
      <c r="CE244" s="659"/>
      <c r="CF244" s="117"/>
      <c r="DX244" s="1"/>
    </row>
    <row r="245" spans="38:128" ht="19.5" customHeight="1">
      <c r="AL245" s="143"/>
      <c r="AX245" s="542" t="s">
        <v>2673</v>
      </c>
      <c r="AY245" s="114"/>
      <c r="AZ245" s="114"/>
      <c r="BA245" s="547" t="s">
        <v>2674</v>
      </c>
      <c r="BB245" s="548" t="s">
        <v>2675</v>
      </c>
      <c r="BC245" s="546" t="s">
        <v>2676</v>
      </c>
      <c r="BD245" s="546" t="s">
        <v>2677</v>
      </c>
      <c r="BE245" s="547" t="s">
        <v>2678</v>
      </c>
      <c r="BF245" s="547" t="s">
        <v>2679</v>
      </c>
      <c r="BG245" s="546" t="s">
        <v>2680</v>
      </c>
      <c r="BH245" s="547" t="s">
        <v>2681</v>
      </c>
      <c r="BI245" s="546" t="s">
        <v>2682</v>
      </c>
      <c r="BJ245" s="547" t="s">
        <v>2683</v>
      </c>
      <c r="BK245" s="547" t="s">
        <v>2684</v>
      </c>
      <c r="BL245" s="548" t="s">
        <v>2685</v>
      </c>
      <c r="BM245" s="546" t="s">
        <v>2686</v>
      </c>
      <c r="BN245" s="547" t="s">
        <v>2687</v>
      </c>
      <c r="BO245" s="547" t="s">
        <v>2688</v>
      </c>
      <c r="BP245" s="547" t="s">
        <v>2689</v>
      </c>
      <c r="BQ245" s="547" t="s">
        <v>2690</v>
      </c>
      <c r="BR245" s="115"/>
      <c r="BS245" s="546" t="s">
        <v>2691</v>
      </c>
      <c r="BT245" s="547" t="s">
        <v>2692</v>
      </c>
      <c r="BU245" s="547" t="s">
        <v>2693</v>
      </c>
      <c r="BV245" s="115"/>
      <c r="BW245" s="115"/>
      <c r="BX245" s="546" t="s">
        <v>2694</v>
      </c>
      <c r="BY245" s="547" t="s">
        <v>2695</v>
      </c>
      <c r="BZ245" s="651" t="s">
        <v>2696</v>
      </c>
      <c r="CA245" s="658"/>
      <c r="CB245" s="511"/>
      <c r="CC245" s="115"/>
      <c r="CD245" s="306"/>
      <c r="CE245" s="306"/>
      <c r="CF245" s="660"/>
      <c r="DX245" s="1"/>
    </row>
    <row r="246" spans="38:128" ht="19.5" customHeight="1">
      <c r="AL246" s="143"/>
      <c r="AX246" s="542" t="s">
        <v>2697</v>
      </c>
      <c r="AY246" s="114"/>
      <c r="AZ246" s="114"/>
      <c r="BA246" s="547" t="s">
        <v>2698</v>
      </c>
      <c r="BB246" s="115"/>
      <c r="BC246" s="546" t="s">
        <v>2699</v>
      </c>
      <c r="BD246" s="546" t="s">
        <v>2700</v>
      </c>
      <c r="BE246" s="547" t="s">
        <v>2701</v>
      </c>
      <c r="BF246" s="547" t="s">
        <v>2702</v>
      </c>
      <c r="BG246" s="546" t="s">
        <v>2703</v>
      </c>
      <c r="BH246" s="547" t="s">
        <v>2704</v>
      </c>
      <c r="BI246" s="546" t="s">
        <v>2705</v>
      </c>
      <c r="BJ246" s="547" t="s">
        <v>2706</v>
      </c>
      <c r="BK246" s="549" t="s">
        <v>2707</v>
      </c>
      <c r="BL246" s="115"/>
      <c r="BM246" s="548" t="s">
        <v>2708</v>
      </c>
      <c r="BN246" s="547" t="s">
        <v>2709</v>
      </c>
      <c r="BO246" s="547" t="s">
        <v>2710</v>
      </c>
      <c r="BP246" s="547" t="s">
        <v>2711</v>
      </c>
      <c r="BQ246" s="547" t="s">
        <v>2712</v>
      </c>
      <c r="BR246" s="115"/>
      <c r="BS246" s="548" t="s">
        <v>2713</v>
      </c>
      <c r="BT246" s="547" t="s">
        <v>2714</v>
      </c>
      <c r="BU246" s="547" t="s">
        <v>2715</v>
      </c>
      <c r="BV246" s="115"/>
      <c r="BW246" s="115"/>
      <c r="BX246" s="546" t="s">
        <v>2716</v>
      </c>
      <c r="BY246" s="547" t="s">
        <v>2717</v>
      </c>
      <c r="BZ246" s="651" t="s">
        <v>2718</v>
      </c>
      <c r="CA246" s="658"/>
      <c r="CB246" s="511"/>
      <c r="CC246" s="115"/>
      <c r="CD246" s="306"/>
      <c r="CE246" s="306"/>
      <c r="CF246" s="660"/>
      <c r="DX246" s="1"/>
    </row>
    <row r="247" spans="38:128" ht="19.5" customHeight="1">
      <c r="AL247" s="143"/>
      <c r="AX247" s="542" t="s">
        <v>2719</v>
      </c>
      <c r="AY247" s="114"/>
      <c r="AZ247" s="114"/>
      <c r="BA247" s="547" t="s">
        <v>2720</v>
      </c>
      <c r="BB247" s="115"/>
      <c r="BC247" s="548" t="s">
        <v>2721</v>
      </c>
      <c r="BD247" s="546" t="s">
        <v>2722</v>
      </c>
      <c r="BE247" s="547" t="s">
        <v>2723</v>
      </c>
      <c r="BF247" s="547" t="s">
        <v>2724</v>
      </c>
      <c r="BG247" s="546" t="s">
        <v>2725</v>
      </c>
      <c r="BH247" s="547" t="s">
        <v>2726</v>
      </c>
      <c r="BI247" s="546" t="s">
        <v>2727</v>
      </c>
      <c r="BJ247" s="547" t="s">
        <v>2728</v>
      </c>
      <c r="BK247" s="115"/>
      <c r="BL247" s="115"/>
      <c r="BM247" s="115"/>
      <c r="BN247" s="547" t="s">
        <v>2729</v>
      </c>
      <c r="BO247" s="547" t="s">
        <v>2730</v>
      </c>
      <c r="BP247" s="547" t="s">
        <v>2731</v>
      </c>
      <c r="BQ247" s="549" t="s">
        <v>2732</v>
      </c>
      <c r="BR247" s="115"/>
      <c r="BS247" s="115"/>
      <c r="BT247" s="547" t="s">
        <v>2733</v>
      </c>
      <c r="BU247" s="547" t="s">
        <v>2734</v>
      </c>
      <c r="BV247" s="115"/>
      <c r="BW247" s="115"/>
      <c r="BX247" s="546" t="s">
        <v>2735</v>
      </c>
      <c r="BY247" s="547" t="s">
        <v>2736</v>
      </c>
      <c r="BZ247" s="651" t="s">
        <v>2737</v>
      </c>
      <c r="CA247" s="658"/>
      <c r="CB247" s="511"/>
      <c r="CC247" s="115"/>
      <c r="CD247" s="306"/>
      <c r="CE247" s="306"/>
      <c r="CF247" s="660"/>
      <c r="DX247" s="1"/>
    </row>
    <row r="248" spans="38:128" ht="19.5" customHeight="1">
      <c r="AL248" s="143"/>
      <c r="AX248" s="542" t="s">
        <v>2738</v>
      </c>
      <c r="AY248" s="114"/>
      <c r="AZ248" s="114"/>
      <c r="BA248" s="547" t="s">
        <v>2739</v>
      </c>
      <c r="BB248" s="115"/>
      <c r="BC248" s="115"/>
      <c r="BD248" s="546" t="s">
        <v>2740</v>
      </c>
      <c r="BE248" s="547" t="s">
        <v>2741</v>
      </c>
      <c r="BF248" s="547" t="s">
        <v>2742</v>
      </c>
      <c r="BG248" s="546" t="s">
        <v>2743</v>
      </c>
      <c r="BH248" s="547" t="s">
        <v>2744</v>
      </c>
      <c r="BI248" s="546" t="s">
        <v>2745</v>
      </c>
      <c r="BJ248" s="547" t="s">
        <v>2746</v>
      </c>
      <c r="BK248" s="115"/>
      <c r="BL248" s="115"/>
      <c r="BM248" s="115"/>
      <c r="BN248" s="547" t="s">
        <v>2747</v>
      </c>
      <c r="BO248" s="547" t="s">
        <v>2748</v>
      </c>
      <c r="BP248" s="549" t="s">
        <v>2749</v>
      </c>
      <c r="BQ248" s="115"/>
      <c r="BR248" s="115"/>
      <c r="BS248" s="115"/>
      <c r="BT248" s="547" t="s">
        <v>2750</v>
      </c>
      <c r="BU248" s="547" t="s">
        <v>2751</v>
      </c>
      <c r="BV248" s="115"/>
      <c r="BW248" s="115"/>
      <c r="BX248" s="546" t="s">
        <v>2752</v>
      </c>
      <c r="BY248" s="547" t="s">
        <v>2753</v>
      </c>
      <c r="BZ248" s="651" t="s">
        <v>2754</v>
      </c>
      <c r="CA248" s="658"/>
      <c r="CB248" s="511"/>
      <c r="CC248" s="115"/>
      <c r="CD248" s="306"/>
      <c r="CE248" s="306"/>
      <c r="CF248" s="660"/>
      <c r="DX248" s="1"/>
    </row>
    <row r="249" spans="38:128" ht="19.5" customHeight="1">
      <c r="AL249" s="143"/>
      <c r="AX249" s="542" t="s">
        <v>2755</v>
      </c>
      <c r="AY249" s="114"/>
      <c r="AZ249" s="114"/>
      <c r="BA249" s="547" t="s">
        <v>2756</v>
      </c>
      <c r="BB249" s="115"/>
      <c r="BC249" s="115"/>
      <c r="BD249" s="546" t="s">
        <v>2757</v>
      </c>
      <c r="BE249" s="547" t="s">
        <v>2758</v>
      </c>
      <c r="BF249" s="547" t="s">
        <v>2759</v>
      </c>
      <c r="BG249" s="548" t="s">
        <v>2760</v>
      </c>
      <c r="BH249" s="547" t="s">
        <v>2761</v>
      </c>
      <c r="BI249" s="546" t="s">
        <v>2762</v>
      </c>
      <c r="BJ249" s="547" t="s">
        <v>2763</v>
      </c>
      <c r="BK249" s="115"/>
      <c r="BL249" s="115"/>
      <c r="BM249" s="115"/>
      <c r="BN249" s="547" t="s">
        <v>2764</v>
      </c>
      <c r="BO249" s="547" t="s">
        <v>2765</v>
      </c>
      <c r="BP249" s="115"/>
      <c r="BQ249" s="115"/>
      <c r="BR249" s="115"/>
      <c r="BS249" s="115"/>
      <c r="BT249" s="547" t="s">
        <v>2766</v>
      </c>
      <c r="BU249" s="547" t="s">
        <v>2767</v>
      </c>
      <c r="BV249" s="115"/>
      <c r="BW249" s="115"/>
      <c r="BX249" s="546" t="s">
        <v>2768</v>
      </c>
      <c r="BY249" s="547" t="s">
        <v>2769</v>
      </c>
      <c r="BZ249" s="651" t="s">
        <v>2770</v>
      </c>
      <c r="CA249" s="658"/>
      <c r="CB249" s="511"/>
      <c r="CC249" s="115"/>
      <c r="CD249" s="306"/>
      <c r="CE249" s="306"/>
      <c r="CF249" s="660"/>
      <c r="DX249" s="1"/>
    </row>
    <row r="250" spans="38:128" ht="19.5" customHeight="1">
      <c r="AL250" s="143"/>
      <c r="AX250" s="542" t="s">
        <v>2771</v>
      </c>
      <c r="AY250" s="114"/>
      <c r="AZ250" s="114"/>
      <c r="BA250" s="547" t="s">
        <v>2772</v>
      </c>
      <c r="BB250" s="115"/>
      <c r="BC250" s="115"/>
      <c r="BD250" s="546" t="s">
        <v>2773</v>
      </c>
      <c r="BE250" s="547" t="s">
        <v>2774</v>
      </c>
      <c r="BF250" s="547" t="s">
        <v>2775</v>
      </c>
      <c r="BG250" s="115"/>
      <c r="BH250" s="547" t="s">
        <v>2776</v>
      </c>
      <c r="BI250" s="546" t="s">
        <v>2777</v>
      </c>
      <c r="BJ250" s="547" t="s">
        <v>2778</v>
      </c>
      <c r="BK250" s="115"/>
      <c r="BL250" s="115"/>
      <c r="BM250" s="115"/>
      <c r="BN250" s="547" t="s">
        <v>2779</v>
      </c>
      <c r="BO250" s="547" t="s">
        <v>2780</v>
      </c>
      <c r="BP250" s="115"/>
      <c r="BQ250" s="115"/>
      <c r="BR250" s="115"/>
      <c r="BS250" s="115"/>
      <c r="BT250" s="547" t="s">
        <v>2781</v>
      </c>
      <c r="BU250" s="547" t="s">
        <v>2782</v>
      </c>
      <c r="BV250" s="115"/>
      <c r="BW250" s="115"/>
      <c r="BX250" s="546" t="s">
        <v>2783</v>
      </c>
      <c r="BY250" s="547" t="s">
        <v>2784</v>
      </c>
      <c r="BZ250" s="651" t="s">
        <v>2785</v>
      </c>
      <c r="CA250" s="658"/>
      <c r="CB250" s="511"/>
      <c r="CC250" s="115"/>
      <c r="CD250" s="306"/>
      <c r="CE250" s="306"/>
      <c r="CF250" s="660"/>
      <c r="DX250" s="1"/>
    </row>
    <row r="251" spans="38:128" ht="19.5" customHeight="1">
      <c r="AL251" s="143"/>
      <c r="AX251" s="542" t="s">
        <v>2786</v>
      </c>
      <c r="AY251" s="114"/>
      <c r="AZ251" s="114"/>
      <c r="BA251" s="547" t="s">
        <v>2787</v>
      </c>
      <c r="BB251" s="115"/>
      <c r="BC251" s="115"/>
      <c r="BD251" s="546" t="s">
        <v>2788</v>
      </c>
      <c r="BE251" s="547" t="s">
        <v>2789</v>
      </c>
      <c r="BF251" s="547" t="s">
        <v>2790</v>
      </c>
      <c r="BG251" s="115"/>
      <c r="BH251" s="547" t="s">
        <v>2791</v>
      </c>
      <c r="BI251" s="546" t="s">
        <v>2792</v>
      </c>
      <c r="BJ251" s="547" t="s">
        <v>2793</v>
      </c>
      <c r="BK251" s="115"/>
      <c r="BL251" s="115"/>
      <c r="BM251" s="115"/>
      <c r="BN251" s="547" t="s">
        <v>2794</v>
      </c>
      <c r="BO251" s="547" t="s">
        <v>2795</v>
      </c>
      <c r="BP251" s="115"/>
      <c r="BQ251" s="115"/>
      <c r="BR251" s="115"/>
      <c r="BS251" s="115"/>
      <c r="BT251" s="547" t="s">
        <v>2796</v>
      </c>
      <c r="BU251" s="547" t="s">
        <v>2797</v>
      </c>
      <c r="BV251" s="115"/>
      <c r="BW251" s="115"/>
      <c r="BX251" s="548" t="s">
        <v>2798</v>
      </c>
      <c r="BY251" s="547" t="s">
        <v>2799</v>
      </c>
      <c r="BZ251" s="655" t="s">
        <v>2800</v>
      </c>
      <c r="CA251" s="658"/>
      <c r="CB251" s="511"/>
      <c r="CC251" s="115"/>
      <c r="CD251" s="117"/>
      <c r="CE251" s="659"/>
      <c r="CF251" s="117"/>
      <c r="DX251" s="1"/>
    </row>
    <row r="252" spans="38:128" ht="19.5" customHeight="1">
      <c r="AL252" s="143"/>
      <c r="AX252" s="542" t="s">
        <v>2801</v>
      </c>
      <c r="AY252" s="114"/>
      <c r="AZ252" s="114"/>
      <c r="BA252" s="547" t="s">
        <v>2802</v>
      </c>
      <c r="BB252" s="115"/>
      <c r="BC252" s="115"/>
      <c r="BD252" s="546" t="s">
        <v>2803</v>
      </c>
      <c r="BE252" s="547" t="s">
        <v>2804</v>
      </c>
      <c r="BF252" s="547" t="s">
        <v>2805</v>
      </c>
      <c r="BG252" s="115"/>
      <c r="BH252" s="547" t="s">
        <v>2806</v>
      </c>
      <c r="BI252" s="546" t="s">
        <v>2807</v>
      </c>
      <c r="BJ252" s="547" t="s">
        <v>2808</v>
      </c>
      <c r="BK252" s="115"/>
      <c r="BL252" s="115"/>
      <c r="BM252" s="115"/>
      <c r="BN252" s="547" t="s">
        <v>2809</v>
      </c>
      <c r="BO252" s="547" t="s">
        <v>2810</v>
      </c>
      <c r="BP252" s="115"/>
      <c r="BQ252" s="115"/>
      <c r="BR252" s="115"/>
      <c r="BS252" s="115"/>
      <c r="BT252" s="547" t="s">
        <v>2811</v>
      </c>
      <c r="BU252" s="547" t="s">
        <v>2812</v>
      </c>
      <c r="BV252" s="115"/>
      <c r="BW252" s="115"/>
      <c r="BX252" s="115"/>
      <c r="BY252" s="547" t="s">
        <v>2813</v>
      </c>
      <c r="BZ252" s="658"/>
      <c r="CA252" s="658"/>
      <c r="CB252" s="511"/>
      <c r="CC252" s="115"/>
      <c r="CD252" s="117"/>
      <c r="CE252" s="659"/>
      <c r="CF252" s="117"/>
      <c r="DX252" s="1"/>
    </row>
    <row r="253" spans="38:128" ht="19.5" customHeight="1">
      <c r="AL253" s="143"/>
      <c r="AX253" s="542" t="s">
        <v>2814</v>
      </c>
      <c r="AY253" s="114"/>
      <c r="AZ253" s="114"/>
      <c r="BA253" s="547" t="s">
        <v>2815</v>
      </c>
      <c r="BB253" s="115"/>
      <c r="BC253" s="115"/>
      <c r="BD253" s="546" t="s">
        <v>2816</v>
      </c>
      <c r="BE253" s="547" t="s">
        <v>2817</v>
      </c>
      <c r="BF253" s="547" t="s">
        <v>2818</v>
      </c>
      <c r="BG253" s="115"/>
      <c r="BH253" s="547" t="s">
        <v>2819</v>
      </c>
      <c r="BI253" s="546" t="s">
        <v>2820</v>
      </c>
      <c r="BJ253" s="547" t="s">
        <v>2821</v>
      </c>
      <c r="BK253" s="115"/>
      <c r="BL253" s="115"/>
      <c r="BM253" s="115"/>
      <c r="BN253" s="547" t="s">
        <v>2822</v>
      </c>
      <c r="BO253" s="547" t="s">
        <v>2823</v>
      </c>
      <c r="BP253" s="115"/>
      <c r="BQ253" s="115"/>
      <c r="BR253" s="115"/>
      <c r="BS253" s="115"/>
      <c r="BT253" s="547" t="s">
        <v>2824</v>
      </c>
      <c r="BU253" s="547" t="s">
        <v>2825</v>
      </c>
      <c r="BV253" s="115"/>
      <c r="BW253" s="115"/>
      <c r="BX253" s="115"/>
      <c r="BY253" s="547" t="s">
        <v>2826</v>
      </c>
      <c r="BZ253" s="658"/>
      <c r="CA253" s="658"/>
      <c r="CB253" s="511"/>
      <c r="CC253" s="115"/>
      <c r="CD253" s="117"/>
      <c r="CE253" s="659"/>
      <c r="CF253" s="117"/>
      <c r="DX253" s="1"/>
    </row>
    <row r="254" spans="38:128" ht="19.5" customHeight="1">
      <c r="AL254" s="143"/>
      <c r="AX254" s="542" t="s">
        <v>2827</v>
      </c>
      <c r="AY254" s="114"/>
      <c r="AZ254" s="114"/>
      <c r="BA254" s="547" t="s">
        <v>2828</v>
      </c>
      <c r="BB254" s="115"/>
      <c r="BC254" s="115"/>
      <c r="BD254" s="546" t="s">
        <v>2829</v>
      </c>
      <c r="BE254" s="547" t="s">
        <v>2830</v>
      </c>
      <c r="BF254" s="547" t="s">
        <v>2831</v>
      </c>
      <c r="BG254" s="115"/>
      <c r="BH254" s="547" t="s">
        <v>2832</v>
      </c>
      <c r="BI254" s="546" t="s">
        <v>2833</v>
      </c>
      <c r="BJ254" s="547" t="s">
        <v>2834</v>
      </c>
      <c r="BK254" s="115"/>
      <c r="BL254" s="115"/>
      <c r="BM254" s="115"/>
      <c r="BN254" s="547" t="s">
        <v>2835</v>
      </c>
      <c r="BO254" s="549" t="s">
        <v>2836</v>
      </c>
      <c r="BP254" s="115"/>
      <c r="BQ254" s="115"/>
      <c r="BR254" s="115"/>
      <c r="BS254" s="115"/>
      <c r="BT254" s="547" t="s">
        <v>2837</v>
      </c>
      <c r="BU254" s="547" t="s">
        <v>2838</v>
      </c>
      <c r="BV254" s="115"/>
      <c r="BW254" s="115"/>
      <c r="BX254" s="115"/>
      <c r="BY254" s="547" t="s">
        <v>2839</v>
      </c>
      <c r="BZ254" s="658"/>
      <c r="CA254" s="658"/>
      <c r="CB254" s="511"/>
      <c r="CC254" s="115"/>
      <c r="CD254" s="117"/>
      <c r="CE254" s="659"/>
      <c r="CF254" s="117"/>
      <c r="DX254" s="1"/>
    </row>
    <row r="255" spans="38:128" ht="19.5" customHeight="1">
      <c r="AL255" s="143"/>
      <c r="AX255" s="542" t="s">
        <v>2840</v>
      </c>
      <c r="AY255" s="114"/>
      <c r="AZ255" s="114"/>
      <c r="BA255" s="547" t="s">
        <v>2841</v>
      </c>
      <c r="BB255" s="115"/>
      <c r="BC255" s="115"/>
      <c r="BD255" s="546" t="s">
        <v>2842</v>
      </c>
      <c r="BE255" s="547" t="s">
        <v>2843</v>
      </c>
      <c r="BF255" s="547" t="s">
        <v>2844</v>
      </c>
      <c r="BG255" s="115"/>
      <c r="BH255" s="547" t="s">
        <v>2845</v>
      </c>
      <c r="BI255" s="546" t="s">
        <v>2846</v>
      </c>
      <c r="BJ255" s="547" t="s">
        <v>2847</v>
      </c>
      <c r="BK255" s="115"/>
      <c r="BL255" s="115"/>
      <c r="BM255" s="115"/>
      <c r="BN255" s="547" t="s">
        <v>2848</v>
      </c>
      <c r="BO255" s="115"/>
      <c r="BP255" s="115"/>
      <c r="BQ255" s="115"/>
      <c r="BR255" s="115"/>
      <c r="BS255" s="115"/>
      <c r="BT255" s="547" t="s">
        <v>2849</v>
      </c>
      <c r="BU255" s="549" t="s">
        <v>2850</v>
      </c>
      <c r="BV255" s="115"/>
      <c r="BW255" s="115"/>
      <c r="BX255" s="115"/>
      <c r="BY255" s="547" t="s">
        <v>2851</v>
      </c>
      <c r="BZ255" s="658"/>
      <c r="CA255" s="658"/>
      <c r="CB255" s="511"/>
      <c r="CC255" s="115"/>
      <c r="CD255" s="117"/>
      <c r="CE255" s="659"/>
      <c r="CF255" s="117"/>
      <c r="DX255" s="1"/>
    </row>
    <row r="256" spans="38:128" ht="19.5" customHeight="1">
      <c r="AL256" s="143"/>
      <c r="AX256" s="542" t="s">
        <v>2852</v>
      </c>
      <c r="AY256" s="114"/>
      <c r="AZ256" s="114"/>
      <c r="BA256" s="547" t="s">
        <v>2853</v>
      </c>
      <c r="BB256" s="115"/>
      <c r="BC256" s="115"/>
      <c r="BD256" s="546" t="s">
        <v>2854</v>
      </c>
      <c r="BE256" s="547" t="s">
        <v>2855</v>
      </c>
      <c r="BF256" s="547" t="s">
        <v>2856</v>
      </c>
      <c r="BG256" s="115"/>
      <c r="BH256" s="547" t="s">
        <v>2857</v>
      </c>
      <c r="BI256" s="546" t="s">
        <v>2858</v>
      </c>
      <c r="BJ256" s="547" t="s">
        <v>2859</v>
      </c>
      <c r="BK256" s="115"/>
      <c r="BL256" s="115"/>
      <c r="BM256" s="115"/>
      <c r="BN256" s="547" t="s">
        <v>2860</v>
      </c>
      <c r="BO256" s="115"/>
      <c r="BP256" s="115"/>
      <c r="BQ256" s="115"/>
      <c r="BR256" s="115"/>
      <c r="BS256" s="115"/>
      <c r="BT256" s="547" t="s">
        <v>2861</v>
      </c>
      <c r="BU256" s="115"/>
      <c r="BV256" s="115"/>
      <c r="BW256" s="115"/>
      <c r="BX256" s="115"/>
      <c r="BY256" s="547" t="s">
        <v>2862</v>
      </c>
      <c r="BZ256" s="658"/>
      <c r="CA256" s="658"/>
      <c r="CB256" s="511"/>
      <c r="CC256" s="115"/>
      <c r="CD256" s="117"/>
      <c r="CE256" s="659"/>
      <c r="CF256" s="117"/>
      <c r="DX256" s="1"/>
    </row>
    <row r="257" spans="38:128" ht="19.5" customHeight="1">
      <c r="AL257" s="143"/>
      <c r="AX257" s="542" t="s">
        <v>2863</v>
      </c>
      <c r="AY257" s="114"/>
      <c r="AZ257" s="114"/>
      <c r="BA257" s="547" t="s">
        <v>2864</v>
      </c>
      <c r="BB257" s="115"/>
      <c r="BC257" s="115"/>
      <c r="BD257" s="546" t="s">
        <v>2865</v>
      </c>
      <c r="BE257" s="547" t="s">
        <v>2866</v>
      </c>
      <c r="BF257" s="547" t="s">
        <v>2867</v>
      </c>
      <c r="BG257" s="115"/>
      <c r="BH257" s="547" t="s">
        <v>2868</v>
      </c>
      <c r="BI257" s="548" t="s">
        <v>2869</v>
      </c>
      <c r="BJ257" s="547" t="s">
        <v>2870</v>
      </c>
      <c r="BK257" s="115"/>
      <c r="BL257" s="115"/>
      <c r="BM257" s="115"/>
      <c r="BN257" s="547" t="s">
        <v>2871</v>
      </c>
      <c r="BO257" s="115"/>
      <c r="BP257" s="115"/>
      <c r="BQ257" s="115"/>
      <c r="BR257" s="115"/>
      <c r="BS257" s="115"/>
      <c r="BT257" s="547" t="s">
        <v>2872</v>
      </c>
      <c r="BU257" s="115"/>
      <c r="BV257" s="115"/>
      <c r="BW257" s="115"/>
      <c r="BX257" s="115"/>
      <c r="BY257" s="547" t="s">
        <v>2873</v>
      </c>
      <c r="BZ257" s="658"/>
      <c r="CA257" s="658"/>
      <c r="CB257" s="511"/>
      <c r="CC257" s="115"/>
      <c r="CD257" s="117"/>
      <c r="CE257" s="659"/>
      <c r="CF257" s="117"/>
      <c r="DX257" s="1"/>
    </row>
    <row r="258" spans="38:128" ht="19.5" customHeight="1">
      <c r="AL258" s="143"/>
      <c r="AX258" s="542" t="s">
        <v>2874</v>
      </c>
      <c r="AY258" s="114"/>
      <c r="AZ258" s="114"/>
      <c r="BA258" s="547" t="s">
        <v>2875</v>
      </c>
      <c r="BB258" s="115"/>
      <c r="BC258" s="115"/>
      <c r="BD258" s="546" t="s">
        <v>2876</v>
      </c>
      <c r="BE258" s="547" t="s">
        <v>2877</v>
      </c>
      <c r="BF258" s="547" t="s">
        <v>2878</v>
      </c>
      <c r="BG258" s="115"/>
      <c r="BH258" s="547" t="s">
        <v>2879</v>
      </c>
      <c r="BI258" s="115"/>
      <c r="BJ258" s="547" t="s">
        <v>2880</v>
      </c>
      <c r="BK258" s="115"/>
      <c r="BL258" s="115"/>
      <c r="BM258" s="115"/>
      <c r="BN258" s="547" t="s">
        <v>2881</v>
      </c>
      <c r="BO258" s="115"/>
      <c r="BP258" s="115"/>
      <c r="BQ258" s="115"/>
      <c r="BR258" s="115"/>
      <c r="BS258" s="115"/>
      <c r="BT258" s="547" t="s">
        <v>2882</v>
      </c>
      <c r="BU258" s="115"/>
      <c r="BV258" s="115"/>
      <c r="BW258" s="115"/>
      <c r="BX258" s="115"/>
      <c r="BY258" s="547" t="s">
        <v>2883</v>
      </c>
      <c r="BZ258" s="658"/>
      <c r="CA258" s="658"/>
      <c r="CB258" s="511"/>
      <c r="CC258" s="115"/>
      <c r="CD258" s="117"/>
      <c r="CE258" s="661"/>
      <c r="CF258" s="117"/>
      <c r="DX258" s="1"/>
    </row>
    <row r="259" spans="38:128" ht="19.5" customHeight="1">
      <c r="AL259" s="143"/>
      <c r="AX259" s="542" t="s">
        <v>2884</v>
      </c>
      <c r="AY259" s="114"/>
      <c r="AZ259" s="114"/>
      <c r="BA259" s="547" t="s">
        <v>2885</v>
      </c>
      <c r="BB259" s="115"/>
      <c r="BC259" s="115"/>
      <c r="BD259" s="546" t="s">
        <v>2886</v>
      </c>
      <c r="BE259" s="547" t="s">
        <v>2887</v>
      </c>
      <c r="BF259" s="547" t="s">
        <v>2888</v>
      </c>
      <c r="BG259" s="115"/>
      <c r="BH259" s="547" t="s">
        <v>2889</v>
      </c>
      <c r="BI259" s="115"/>
      <c r="BJ259" s="547" t="s">
        <v>2890</v>
      </c>
      <c r="BK259" s="115"/>
      <c r="BL259" s="115"/>
      <c r="BM259" s="115"/>
      <c r="BN259" s="547" t="s">
        <v>2891</v>
      </c>
      <c r="BO259" s="115"/>
      <c r="BP259" s="115"/>
      <c r="BQ259" s="115"/>
      <c r="BR259" s="115"/>
      <c r="BS259" s="115"/>
      <c r="BT259" s="547" t="s">
        <v>2892</v>
      </c>
      <c r="BU259" s="115"/>
      <c r="BV259" s="115"/>
      <c r="BW259" s="115"/>
      <c r="BX259" s="115"/>
      <c r="BY259" s="547" t="s">
        <v>2893</v>
      </c>
      <c r="BZ259" s="658"/>
      <c r="CA259" s="658"/>
      <c r="CB259" s="511"/>
      <c r="CC259" s="115"/>
      <c r="CD259" s="117"/>
      <c r="CE259" s="661"/>
      <c r="CF259" s="117"/>
    </row>
    <row r="260" spans="38:128" ht="19.5" customHeight="1">
      <c r="AL260" s="143"/>
      <c r="AX260" s="542" t="s">
        <v>2894</v>
      </c>
      <c r="AY260" s="114"/>
      <c r="AZ260" s="114"/>
      <c r="BA260" s="547" t="s">
        <v>2895</v>
      </c>
      <c r="BB260" s="115"/>
      <c r="BC260" s="115"/>
      <c r="BD260" s="546" t="s">
        <v>2896</v>
      </c>
      <c r="BE260" s="547" t="s">
        <v>2897</v>
      </c>
      <c r="BF260" s="547" t="s">
        <v>2898</v>
      </c>
      <c r="BG260" s="115"/>
      <c r="BH260" s="547" t="s">
        <v>2899</v>
      </c>
      <c r="BI260" s="115"/>
      <c r="BJ260" s="547" t="s">
        <v>2900</v>
      </c>
      <c r="BK260" s="115"/>
      <c r="BL260" s="115"/>
      <c r="BM260" s="115"/>
      <c r="BN260" s="547" t="s">
        <v>2901</v>
      </c>
      <c r="BO260" s="115"/>
      <c r="BP260" s="115"/>
      <c r="BQ260" s="115"/>
      <c r="BR260" s="115"/>
      <c r="BS260" s="115"/>
      <c r="BT260" s="547" t="s">
        <v>2902</v>
      </c>
      <c r="BU260" s="115"/>
      <c r="BV260" s="115"/>
      <c r="BW260" s="115"/>
      <c r="BX260" s="115"/>
      <c r="BY260" s="547" t="s">
        <v>2903</v>
      </c>
      <c r="BZ260" s="658"/>
      <c r="CA260" s="658"/>
      <c r="CB260" s="511"/>
      <c r="CC260" s="115"/>
      <c r="CD260" s="117"/>
      <c r="CE260" s="661"/>
      <c r="CF260" s="117"/>
    </row>
    <row r="261" spans="38:128" ht="19.5" customHeight="1">
      <c r="AL261" s="143"/>
      <c r="AX261" s="542" t="s">
        <v>2904</v>
      </c>
      <c r="AY261" s="114"/>
      <c r="AZ261" s="114"/>
      <c r="BA261" s="547" t="s">
        <v>2905</v>
      </c>
      <c r="BB261" s="115"/>
      <c r="BC261" s="115"/>
      <c r="BD261" s="546" t="s">
        <v>2906</v>
      </c>
      <c r="BE261" s="547" t="s">
        <v>2907</v>
      </c>
      <c r="BF261" s="547" t="s">
        <v>2908</v>
      </c>
      <c r="BG261" s="115"/>
      <c r="BH261" s="547" t="s">
        <v>2909</v>
      </c>
      <c r="BI261" s="115"/>
      <c r="BJ261" s="547" t="s">
        <v>2910</v>
      </c>
      <c r="BK261" s="115"/>
      <c r="BL261" s="115"/>
      <c r="BM261" s="115"/>
      <c r="BN261" s="547" t="s">
        <v>2911</v>
      </c>
      <c r="BO261" s="115"/>
      <c r="BP261" s="115"/>
      <c r="BQ261" s="115"/>
      <c r="BR261" s="115"/>
      <c r="BS261" s="115"/>
      <c r="BT261" s="547" t="s">
        <v>2912</v>
      </c>
      <c r="BU261" s="115"/>
      <c r="BV261" s="115"/>
      <c r="BW261" s="115"/>
      <c r="BX261" s="115"/>
      <c r="BY261" s="547" t="s">
        <v>2913</v>
      </c>
      <c r="BZ261" s="658"/>
      <c r="CA261" s="658"/>
      <c r="CB261" s="511"/>
      <c r="CC261" s="115"/>
      <c r="CD261" s="117"/>
      <c r="CE261" s="661"/>
      <c r="CF261" s="117"/>
    </row>
    <row r="262" spans="38:128" ht="19.5" customHeight="1">
      <c r="AL262" s="143"/>
      <c r="AX262" s="542" t="s">
        <v>2914</v>
      </c>
      <c r="AY262" s="114"/>
      <c r="AZ262" s="114"/>
      <c r="BA262" s="547" t="s">
        <v>2915</v>
      </c>
      <c r="BB262" s="115"/>
      <c r="BC262" s="115"/>
      <c r="BD262" s="546" t="s">
        <v>2916</v>
      </c>
      <c r="BE262" s="547" t="s">
        <v>2917</v>
      </c>
      <c r="BF262" s="547" t="s">
        <v>2918</v>
      </c>
      <c r="BG262" s="115"/>
      <c r="BH262" s="547" t="s">
        <v>2919</v>
      </c>
      <c r="BI262" s="115"/>
      <c r="BJ262" s="547" t="s">
        <v>2920</v>
      </c>
      <c r="BK262" s="115"/>
      <c r="BL262" s="115"/>
      <c r="BM262" s="115"/>
      <c r="BN262" s="547" t="s">
        <v>2921</v>
      </c>
      <c r="BO262" s="115"/>
      <c r="BP262" s="115"/>
      <c r="BQ262" s="115"/>
      <c r="BR262" s="115"/>
      <c r="BS262" s="115"/>
      <c r="BT262" s="547" t="s">
        <v>2922</v>
      </c>
      <c r="BU262" s="115"/>
      <c r="BV262" s="115"/>
      <c r="BW262" s="115"/>
      <c r="BX262" s="115"/>
      <c r="BY262" s="547" t="s">
        <v>2923</v>
      </c>
      <c r="BZ262" s="658"/>
      <c r="CA262" s="658"/>
      <c r="CB262" s="511"/>
      <c r="CC262" s="115"/>
      <c r="CD262" s="117"/>
      <c r="CE262" s="661"/>
      <c r="CF262" s="117"/>
    </row>
    <row r="263" spans="38:128" ht="19.5" customHeight="1">
      <c r="AL263" s="143"/>
      <c r="AX263" s="542" t="s">
        <v>2924</v>
      </c>
      <c r="AY263" s="114"/>
      <c r="AZ263" s="114"/>
      <c r="BA263" s="547" t="s">
        <v>2925</v>
      </c>
      <c r="BB263" s="115"/>
      <c r="BC263" s="115"/>
      <c r="BD263" s="546" t="s">
        <v>2926</v>
      </c>
      <c r="BE263" s="547" t="s">
        <v>2927</v>
      </c>
      <c r="BF263" s="549" t="s">
        <v>2928</v>
      </c>
      <c r="BG263" s="115"/>
      <c r="BH263" s="547" t="s">
        <v>2929</v>
      </c>
      <c r="BI263" s="115"/>
      <c r="BJ263" s="547" t="s">
        <v>2930</v>
      </c>
      <c r="BK263" s="115"/>
      <c r="BL263" s="115"/>
      <c r="BM263" s="115"/>
      <c r="BN263" s="547" t="s">
        <v>2931</v>
      </c>
      <c r="BO263" s="115"/>
      <c r="BP263" s="115"/>
      <c r="BQ263" s="115"/>
      <c r="BR263" s="115"/>
      <c r="BS263" s="115"/>
      <c r="BT263" s="547" t="s">
        <v>2932</v>
      </c>
      <c r="BU263" s="115"/>
      <c r="BV263" s="115"/>
      <c r="BW263" s="115"/>
      <c r="BX263" s="115"/>
      <c r="BY263" s="547" t="s">
        <v>2933</v>
      </c>
      <c r="BZ263" s="658"/>
      <c r="CA263" s="658"/>
      <c r="CB263" s="511"/>
      <c r="CC263" s="115"/>
      <c r="CD263" s="117"/>
      <c r="CE263" s="661"/>
      <c r="CF263" s="117"/>
    </row>
    <row r="264" spans="38:128" ht="19.5" customHeight="1">
      <c r="AL264" s="143"/>
      <c r="AX264" s="542" t="s">
        <v>2934</v>
      </c>
      <c r="AY264" s="114"/>
      <c r="AZ264" s="114"/>
      <c r="BA264" s="547" t="s">
        <v>2935</v>
      </c>
      <c r="BB264" s="115"/>
      <c r="BC264" s="115"/>
      <c r="BD264" s="546" t="s">
        <v>2936</v>
      </c>
      <c r="BE264" s="547" t="s">
        <v>2937</v>
      </c>
      <c r="BF264" s="115"/>
      <c r="BG264" s="115"/>
      <c r="BH264" s="547" t="s">
        <v>2938</v>
      </c>
      <c r="BI264" s="115"/>
      <c r="BJ264" s="547" t="s">
        <v>2939</v>
      </c>
      <c r="BK264" s="115"/>
      <c r="BL264" s="115"/>
      <c r="BM264" s="115"/>
      <c r="BN264" s="547" t="s">
        <v>2940</v>
      </c>
      <c r="BO264" s="115"/>
      <c r="BP264" s="115"/>
      <c r="BQ264" s="115"/>
      <c r="BR264" s="115"/>
      <c r="BS264" s="115"/>
      <c r="BT264" s="549" t="s">
        <v>2941</v>
      </c>
      <c r="BU264" s="115"/>
      <c r="BV264" s="115"/>
      <c r="BW264" s="115"/>
      <c r="BX264" s="115"/>
      <c r="BY264" s="547" t="s">
        <v>2942</v>
      </c>
      <c r="BZ264" s="658"/>
      <c r="CA264" s="658"/>
      <c r="CB264" s="511"/>
      <c r="CC264" s="115"/>
      <c r="CD264" s="117"/>
      <c r="CE264" s="661"/>
      <c r="CF264" s="117"/>
    </row>
    <row r="265" spans="38:128" ht="19.5" customHeight="1">
      <c r="AL265" s="143"/>
      <c r="AX265" s="542" t="s">
        <v>2943</v>
      </c>
      <c r="AY265" s="114"/>
      <c r="AZ265" s="114"/>
      <c r="BA265" s="547" t="s">
        <v>2944</v>
      </c>
      <c r="BB265" s="115"/>
      <c r="BC265" s="115"/>
      <c r="BD265" s="546" t="s">
        <v>2945</v>
      </c>
      <c r="BE265" s="547" t="s">
        <v>2946</v>
      </c>
      <c r="BF265" s="115"/>
      <c r="BG265" s="115"/>
      <c r="BH265" s="547" t="s">
        <v>2947</v>
      </c>
      <c r="BI265" s="115"/>
      <c r="BJ265" s="547" t="s">
        <v>2948</v>
      </c>
      <c r="BK265" s="115"/>
      <c r="BL265" s="115"/>
      <c r="BM265" s="115"/>
      <c r="BN265" s="547" t="s">
        <v>2949</v>
      </c>
      <c r="BO265" s="115"/>
      <c r="BP265" s="115"/>
      <c r="BQ265" s="115"/>
      <c r="BR265" s="115"/>
      <c r="BS265" s="115"/>
      <c r="BT265" s="115"/>
      <c r="BU265" s="115"/>
      <c r="BV265" s="115"/>
      <c r="BW265" s="115"/>
      <c r="BX265" s="115"/>
      <c r="BY265" s="547" t="s">
        <v>2950</v>
      </c>
      <c r="BZ265" s="658"/>
      <c r="CA265" s="658"/>
      <c r="CB265" s="511"/>
      <c r="CC265" s="115"/>
      <c r="CD265" s="117"/>
      <c r="CE265" s="661"/>
      <c r="CF265" s="117"/>
    </row>
    <row r="266" spans="38:128" ht="19.5" customHeight="1">
      <c r="AL266" s="143"/>
      <c r="AX266" s="542" t="s">
        <v>2951</v>
      </c>
      <c r="AY266" s="114"/>
      <c r="AZ266" s="114"/>
      <c r="BA266" s="547" t="s">
        <v>2952</v>
      </c>
      <c r="BB266" s="115"/>
      <c r="BC266" s="115"/>
      <c r="BD266" s="546" t="s">
        <v>2953</v>
      </c>
      <c r="BE266" s="547" t="s">
        <v>2954</v>
      </c>
      <c r="BF266" s="115"/>
      <c r="BG266" s="115"/>
      <c r="BH266" s="547" t="s">
        <v>2955</v>
      </c>
      <c r="BI266" s="115"/>
      <c r="BJ266" s="547" t="s">
        <v>2956</v>
      </c>
      <c r="BK266" s="115"/>
      <c r="BL266" s="115"/>
      <c r="BM266" s="115"/>
      <c r="BN266" s="547" t="s">
        <v>2957</v>
      </c>
      <c r="BO266" s="115"/>
      <c r="BP266" s="115"/>
      <c r="BQ266" s="115"/>
      <c r="BR266" s="115"/>
      <c r="BS266" s="115"/>
      <c r="BT266" s="115"/>
      <c r="BU266" s="115"/>
      <c r="BV266" s="115"/>
      <c r="BW266" s="115"/>
      <c r="BX266" s="115"/>
      <c r="BY266" s="547" t="s">
        <v>2958</v>
      </c>
      <c r="BZ266" s="658"/>
      <c r="CA266" s="658"/>
      <c r="CB266" s="511"/>
      <c r="CC266" s="115"/>
      <c r="CD266" s="117"/>
      <c r="CE266" s="661"/>
      <c r="CF266" s="117"/>
    </row>
    <row r="267" spans="38:128" ht="19.5" customHeight="1">
      <c r="AL267" s="143"/>
      <c r="AX267" s="542" t="s">
        <v>2959</v>
      </c>
      <c r="AY267" s="114"/>
      <c r="AZ267" s="114"/>
      <c r="BA267" s="547" t="s">
        <v>2960</v>
      </c>
      <c r="BB267" s="115"/>
      <c r="BC267" s="115"/>
      <c r="BD267" s="546" t="s">
        <v>2961</v>
      </c>
      <c r="BE267" s="547" t="s">
        <v>2962</v>
      </c>
      <c r="BF267" s="115"/>
      <c r="BG267" s="115"/>
      <c r="BH267" s="547" t="s">
        <v>2963</v>
      </c>
      <c r="BI267" s="115"/>
      <c r="BJ267" s="547" t="s">
        <v>2964</v>
      </c>
      <c r="BK267" s="115"/>
      <c r="BL267" s="115"/>
      <c r="BM267" s="115"/>
      <c r="BN267" s="547" t="s">
        <v>2965</v>
      </c>
      <c r="BO267" s="115"/>
      <c r="BP267" s="115"/>
      <c r="BQ267" s="115"/>
      <c r="BR267" s="115"/>
      <c r="BS267" s="115"/>
      <c r="BT267" s="115"/>
      <c r="BU267" s="115"/>
      <c r="BV267" s="115"/>
      <c r="BW267" s="115"/>
      <c r="BX267" s="115"/>
      <c r="BY267" s="547" t="s">
        <v>2966</v>
      </c>
      <c r="BZ267" s="658"/>
      <c r="CA267" s="658"/>
      <c r="CB267" s="511"/>
      <c r="CC267" s="115"/>
      <c r="CD267" s="117"/>
      <c r="CE267" s="661"/>
      <c r="CF267" s="117"/>
    </row>
    <row r="268" spans="38:128" ht="19.5" customHeight="1">
      <c r="AL268" s="143"/>
      <c r="AX268" s="542" t="s">
        <v>2967</v>
      </c>
      <c r="AY268" s="114"/>
      <c r="AZ268" s="114"/>
      <c r="BA268" s="547" t="s">
        <v>2968</v>
      </c>
      <c r="BB268" s="115"/>
      <c r="BC268" s="115"/>
      <c r="BD268" s="548" t="s">
        <v>2969</v>
      </c>
      <c r="BE268" s="547" t="s">
        <v>2970</v>
      </c>
      <c r="BF268" s="115"/>
      <c r="BG268" s="115"/>
      <c r="BH268" s="547" t="s">
        <v>2971</v>
      </c>
      <c r="BI268" s="115"/>
      <c r="BJ268" s="547" t="s">
        <v>2972</v>
      </c>
      <c r="BK268" s="115"/>
      <c r="BL268" s="115"/>
      <c r="BM268" s="115"/>
      <c r="BN268" s="547" t="s">
        <v>2973</v>
      </c>
      <c r="BO268" s="115"/>
      <c r="BP268" s="115"/>
      <c r="BQ268" s="115"/>
      <c r="BR268" s="115"/>
      <c r="BS268" s="115"/>
      <c r="BT268" s="115"/>
      <c r="BU268" s="115"/>
      <c r="BV268" s="115"/>
      <c r="BW268" s="115"/>
      <c r="BX268" s="115"/>
      <c r="BY268" s="547" t="s">
        <v>2974</v>
      </c>
      <c r="BZ268" s="658"/>
      <c r="CA268" s="658"/>
      <c r="CB268" s="511"/>
      <c r="CC268" s="115"/>
      <c r="CD268" s="117"/>
      <c r="CE268" s="661"/>
      <c r="CF268" s="117"/>
    </row>
    <row r="269" spans="38:128" ht="19.5" customHeight="1">
      <c r="AL269" s="143"/>
      <c r="AX269" s="542" t="s">
        <v>2975</v>
      </c>
      <c r="AY269" s="114"/>
      <c r="AZ269" s="114"/>
      <c r="BA269" s="547" t="s">
        <v>2976</v>
      </c>
      <c r="BB269" s="115"/>
      <c r="BC269" s="115"/>
      <c r="BD269" s="115"/>
      <c r="BE269" s="549" t="s">
        <v>2977</v>
      </c>
      <c r="BF269" s="115"/>
      <c r="BG269" s="115"/>
      <c r="BH269" s="547" t="s">
        <v>2978</v>
      </c>
      <c r="BI269" s="115"/>
      <c r="BJ269" s="549" t="s">
        <v>2979</v>
      </c>
      <c r="BK269" s="115"/>
      <c r="BL269" s="115"/>
      <c r="BM269" s="115"/>
      <c r="BN269" s="547" t="s">
        <v>2980</v>
      </c>
      <c r="BO269" s="115"/>
      <c r="BP269" s="115"/>
      <c r="BQ269" s="115"/>
      <c r="BR269" s="115"/>
      <c r="BS269" s="115"/>
      <c r="BT269" s="115"/>
      <c r="BU269" s="115"/>
      <c r="BV269" s="115"/>
      <c r="BW269" s="115"/>
      <c r="BX269" s="115"/>
      <c r="BY269" s="547" t="s">
        <v>2981</v>
      </c>
      <c r="BZ269" s="658"/>
      <c r="CA269" s="658"/>
      <c r="CB269" s="511"/>
      <c r="CC269" s="115"/>
      <c r="CD269" s="117"/>
      <c r="CE269" s="661"/>
      <c r="CF269" s="117"/>
    </row>
    <row r="270" spans="38:128" ht="19.5" customHeight="1">
      <c r="AL270" s="143"/>
      <c r="AX270" s="545" t="s">
        <v>2982</v>
      </c>
      <c r="AY270" s="114"/>
      <c r="AZ270" s="114"/>
      <c r="BA270" s="547" t="s">
        <v>2983</v>
      </c>
      <c r="BB270" s="115"/>
      <c r="BC270" s="115"/>
      <c r="BD270" s="115"/>
      <c r="BE270" s="115"/>
      <c r="BF270" s="115"/>
      <c r="BG270" s="115"/>
      <c r="BH270" s="547" t="s">
        <v>2984</v>
      </c>
      <c r="BI270" s="115"/>
      <c r="BJ270" s="115"/>
      <c r="BK270" s="115"/>
      <c r="BL270" s="115"/>
      <c r="BM270" s="115"/>
      <c r="BN270" s="549" t="s">
        <v>2985</v>
      </c>
      <c r="BO270" s="115"/>
      <c r="BP270" s="115"/>
      <c r="BQ270" s="115"/>
      <c r="BR270" s="115"/>
      <c r="BS270" s="115"/>
      <c r="BT270" s="115"/>
      <c r="BU270" s="115"/>
      <c r="BV270" s="115"/>
      <c r="BW270" s="115"/>
      <c r="BX270" s="115"/>
      <c r="BY270" s="547" t="s">
        <v>2986</v>
      </c>
      <c r="BZ270" s="658"/>
      <c r="CA270" s="658"/>
      <c r="CB270" s="511"/>
      <c r="CC270" s="115"/>
      <c r="CD270" s="117"/>
      <c r="CE270" s="661"/>
      <c r="CF270" s="117"/>
    </row>
    <row r="271" spans="38:128" ht="19.5" customHeight="1">
      <c r="AL271" s="143"/>
      <c r="AX271" s="114"/>
      <c r="AY271" s="114"/>
      <c r="AZ271" s="114"/>
      <c r="BA271" s="547" t="s">
        <v>2987</v>
      </c>
      <c r="BB271" s="115"/>
      <c r="BC271" s="115"/>
      <c r="BD271" s="115"/>
      <c r="BE271" s="115"/>
      <c r="BF271" s="115"/>
      <c r="BG271" s="115"/>
      <c r="BH271" s="547" t="s">
        <v>2988</v>
      </c>
      <c r="BI271" s="115"/>
      <c r="BJ271" s="115"/>
      <c r="BK271" s="115"/>
      <c r="BL271" s="115"/>
      <c r="BM271" s="115"/>
      <c r="BN271" s="115"/>
      <c r="BO271" s="115"/>
      <c r="BP271" s="115"/>
      <c r="BQ271" s="115"/>
      <c r="BR271" s="115"/>
      <c r="BS271" s="115"/>
      <c r="BT271" s="115"/>
      <c r="BU271" s="115"/>
      <c r="BV271" s="115"/>
      <c r="BW271" s="115"/>
      <c r="BX271" s="115"/>
      <c r="BY271" s="547" t="s">
        <v>2989</v>
      </c>
      <c r="BZ271" s="658"/>
      <c r="CA271" s="658"/>
      <c r="CB271" s="511"/>
      <c r="CC271" s="115"/>
      <c r="CD271" s="117"/>
      <c r="CE271" s="661"/>
      <c r="CF271" s="117"/>
    </row>
    <row r="272" spans="38:128" ht="19.5" customHeight="1">
      <c r="AL272" s="143"/>
      <c r="AX272" s="114"/>
      <c r="AY272" s="114"/>
      <c r="AZ272" s="114"/>
      <c r="BA272" s="549" t="s">
        <v>2990</v>
      </c>
      <c r="BB272" s="115"/>
      <c r="BC272" s="115"/>
      <c r="BD272" s="115"/>
      <c r="BE272" s="115"/>
      <c r="BF272" s="115"/>
      <c r="BG272" s="115"/>
      <c r="BH272" s="547" t="s">
        <v>2991</v>
      </c>
      <c r="BI272" s="115"/>
      <c r="BJ272" s="115"/>
      <c r="BK272" s="115"/>
      <c r="BL272" s="115"/>
      <c r="BM272" s="115"/>
      <c r="BN272" s="115"/>
      <c r="BO272" s="115"/>
      <c r="BP272" s="115"/>
      <c r="BQ272" s="115"/>
      <c r="BR272" s="115"/>
      <c r="BS272" s="115"/>
      <c r="BT272" s="115"/>
      <c r="BU272" s="115"/>
      <c r="BV272" s="115"/>
      <c r="BW272" s="115"/>
      <c r="BX272" s="115"/>
      <c r="BY272" s="547" t="s">
        <v>2992</v>
      </c>
      <c r="BZ272" s="658"/>
      <c r="CA272" s="658"/>
      <c r="CB272" s="511"/>
      <c r="CC272" s="115"/>
      <c r="CD272" s="117"/>
      <c r="CE272" s="661"/>
      <c r="CF272" s="117"/>
    </row>
    <row r="273" spans="38:84" ht="19.5" customHeight="1">
      <c r="AL273" s="143"/>
      <c r="AX273" s="114"/>
      <c r="AY273" s="114"/>
      <c r="AZ273" s="114"/>
      <c r="BA273" s="115"/>
      <c r="BB273" s="115"/>
      <c r="BC273" s="115"/>
      <c r="BD273" s="115"/>
      <c r="BE273" s="115"/>
      <c r="BF273" s="115"/>
      <c r="BG273" s="115"/>
      <c r="BH273" s="547" t="s">
        <v>2993</v>
      </c>
      <c r="BI273" s="115"/>
      <c r="BJ273" s="115"/>
      <c r="BK273" s="115"/>
      <c r="BL273" s="115"/>
      <c r="BM273" s="115"/>
      <c r="BN273" s="115"/>
      <c r="BO273" s="115"/>
      <c r="BP273" s="115"/>
      <c r="BQ273" s="115"/>
      <c r="BR273" s="115"/>
      <c r="BS273" s="115"/>
      <c r="BT273" s="115"/>
      <c r="BU273" s="115"/>
      <c r="BV273" s="115"/>
      <c r="BW273" s="115"/>
      <c r="BX273" s="115"/>
      <c r="BY273" s="549" t="s">
        <v>2994</v>
      </c>
      <c r="BZ273" s="658"/>
      <c r="CA273" s="658"/>
      <c r="CB273" s="511"/>
      <c r="CC273" s="115"/>
      <c r="CD273" s="117"/>
      <c r="CE273" s="661"/>
      <c r="CF273" s="117"/>
    </row>
    <row r="274" spans="38:84" ht="19.5" customHeight="1">
      <c r="AL274" s="143"/>
      <c r="AX274" s="114"/>
      <c r="AY274" s="114"/>
      <c r="AZ274" s="114"/>
      <c r="BA274" s="115"/>
      <c r="BB274" s="115"/>
      <c r="BC274" s="115"/>
      <c r="BD274" s="115"/>
      <c r="BE274" s="115"/>
      <c r="BF274" s="115"/>
      <c r="BG274" s="115"/>
      <c r="BH274" s="547" t="s">
        <v>2995</v>
      </c>
      <c r="BI274" s="115"/>
      <c r="BJ274" s="115"/>
      <c r="BK274" s="115"/>
      <c r="BL274" s="115"/>
      <c r="BM274" s="115"/>
      <c r="BN274" s="115"/>
      <c r="BO274" s="115"/>
      <c r="BP274" s="115"/>
      <c r="BQ274" s="115"/>
      <c r="BR274" s="115"/>
      <c r="BS274" s="115"/>
      <c r="BT274" s="115"/>
      <c r="BU274" s="115"/>
      <c r="BV274" s="115"/>
      <c r="BW274" s="115"/>
      <c r="BX274" s="115"/>
      <c r="BY274" s="115"/>
      <c r="BZ274" s="658"/>
      <c r="CA274" s="658"/>
      <c r="CB274" s="511"/>
      <c r="CC274" s="115"/>
      <c r="CD274" s="117"/>
      <c r="CE274" s="661"/>
      <c r="CF274" s="117"/>
    </row>
    <row r="275" spans="38:84" ht="19.5" customHeight="1">
      <c r="AL275" s="143"/>
      <c r="AX275" s="114"/>
      <c r="AY275" s="114"/>
      <c r="AZ275" s="114"/>
      <c r="BA275" s="115"/>
      <c r="BB275" s="115"/>
      <c r="BC275" s="115"/>
      <c r="BD275" s="115"/>
      <c r="BE275" s="115"/>
      <c r="BF275" s="115"/>
      <c r="BG275" s="115"/>
      <c r="BH275" s="547" t="s">
        <v>2996</v>
      </c>
      <c r="BI275" s="115"/>
      <c r="BJ275" s="115"/>
      <c r="BK275" s="115"/>
      <c r="BL275" s="115"/>
      <c r="BM275" s="115"/>
      <c r="BN275" s="115"/>
      <c r="BO275" s="115"/>
      <c r="BP275" s="115"/>
      <c r="BQ275" s="115"/>
      <c r="BR275" s="115"/>
      <c r="BS275" s="115"/>
      <c r="BT275" s="115"/>
      <c r="BU275" s="115"/>
      <c r="BV275" s="115"/>
      <c r="BW275" s="115"/>
      <c r="BX275" s="115"/>
      <c r="BY275" s="115"/>
      <c r="BZ275" s="658"/>
      <c r="CA275" s="658"/>
      <c r="CB275" s="511"/>
      <c r="CC275" s="115"/>
      <c r="CD275" s="117"/>
      <c r="CE275" s="661"/>
      <c r="CF275" s="117"/>
    </row>
    <row r="276" spans="38:84" ht="19.5" customHeight="1">
      <c r="AL276" s="143"/>
      <c r="AX276" s="114"/>
      <c r="AY276" s="114"/>
      <c r="AZ276" s="114"/>
      <c r="BA276" s="115"/>
      <c r="BB276" s="115"/>
      <c r="BC276" s="115"/>
      <c r="BD276" s="115"/>
      <c r="BE276" s="115"/>
      <c r="BF276" s="115"/>
      <c r="BG276" s="115"/>
      <c r="BH276" s="549" t="s">
        <v>2997</v>
      </c>
      <c r="BI276" s="115"/>
      <c r="BJ276" s="115"/>
      <c r="BK276" s="115"/>
      <c r="BL276" s="115"/>
      <c r="BM276" s="115"/>
      <c r="BN276" s="115"/>
      <c r="BO276" s="115"/>
      <c r="BP276" s="115"/>
      <c r="BQ276" s="115"/>
      <c r="BR276" s="115"/>
      <c r="BS276" s="115"/>
      <c r="BT276" s="115"/>
      <c r="BU276" s="115"/>
      <c r="BV276" s="115"/>
      <c r="BW276" s="115"/>
      <c r="BX276" s="115"/>
      <c r="BY276" s="115"/>
      <c r="BZ276" s="658"/>
      <c r="CA276" s="658"/>
      <c r="CB276" s="511"/>
      <c r="CC276" s="115"/>
      <c r="CD276" s="117"/>
      <c r="CE276" s="661"/>
      <c r="CF276" s="117"/>
    </row>
    <row r="277" spans="38:84" ht="19.5" customHeight="1">
      <c r="AL277" s="143"/>
      <c r="AX277" s="114"/>
      <c r="AY277" s="114"/>
      <c r="AZ277" s="114"/>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658"/>
      <c r="CA277" s="658"/>
      <c r="CB277" s="511"/>
      <c r="CC277" s="115"/>
      <c r="CD277" s="117"/>
      <c r="CE277" s="661"/>
      <c r="CF277" s="117"/>
    </row>
    <row r="278" spans="38:84" ht="19.5" customHeight="1">
      <c r="AL278" s="143"/>
      <c r="AX278" s="114" t="s">
        <v>2998</v>
      </c>
      <c r="AY278" s="114"/>
      <c r="AZ278" s="114"/>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658"/>
      <c r="CA278" s="658"/>
      <c r="CB278" s="511"/>
      <c r="CC278" s="115"/>
      <c r="CD278" s="117"/>
      <c r="CE278" s="661"/>
      <c r="CF278" s="117"/>
    </row>
    <row r="279" spans="38:84" ht="19.5" customHeight="1">
      <c r="AL279" s="143"/>
      <c r="AX279" s="539" t="s">
        <v>2999</v>
      </c>
      <c r="AY279" s="539" t="s">
        <v>2441</v>
      </c>
      <c r="AZ279" s="539" t="s">
        <v>2283</v>
      </c>
      <c r="BA279" s="541" t="s">
        <v>3000</v>
      </c>
      <c r="BB279" s="541" t="s">
        <v>3001</v>
      </c>
      <c r="BC279" s="541" t="s">
        <v>3002</v>
      </c>
      <c r="BD279" s="541" t="s">
        <v>3003</v>
      </c>
      <c r="BE279" s="541" t="s">
        <v>3004</v>
      </c>
      <c r="BF279" s="541" t="s">
        <v>3005</v>
      </c>
      <c r="BG279" s="541" t="s">
        <v>2284</v>
      </c>
      <c r="BH279" s="541" t="s">
        <v>2448</v>
      </c>
      <c r="BI279" s="541" t="s">
        <v>3006</v>
      </c>
      <c r="BJ279" s="541" t="s">
        <v>3007</v>
      </c>
      <c r="BK279" s="541" t="s">
        <v>3008</v>
      </c>
      <c r="BL279" s="541" t="s">
        <v>2080</v>
      </c>
      <c r="BM279" s="115"/>
      <c r="BN279" s="115"/>
      <c r="BO279" s="115"/>
      <c r="BP279" s="115"/>
      <c r="BQ279" s="115"/>
      <c r="BR279" s="115"/>
      <c r="BS279" s="115"/>
      <c r="BT279" s="115"/>
      <c r="BU279" s="115"/>
      <c r="BV279" s="115"/>
      <c r="BW279" s="115"/>
      <c r="BX279" s="115"/>
      <c r="BY279" s="115"/>
      <c r="BZ279" s="658"/>
      <c r="CA279" s="658"/>
      <c r="CB279" s="511"/>
      <c r="CC279" s="115"/>
      <c r="CD279" s="117"/>
      <c r="CE279" s="661"/>
      <c r="CF279" s="117"/>
    </row>
    <row r="280" spans="38:84" ht="19.5" customHeight="1">
      <c r="AL280" s="143"/>
      <c r="AX280" s="542" t="s">
        <v>3009</v>
      </c>
      <c r="AY280" s="636" t="s">
        <v>3009</v>
      </c>
      <c r="AZ280" s="543" t="s">
        <v>3009</v>
      </c>
      <c r="BA280" s="646" t="s">
        <v>3009</v>
      </c>
      <c r="BB280" s="647" t="s">
        <v>3009</v>
      </c>
      <c r="BC280" s="647" t="s">
        <v>3009</v>
      </c>
      <c r="BD280" s="647" t="s">
        <v>3009</v>
      </c>
      <c r="BE280" s="646" t="s">
        <v>3009</v>
      </c>
      <c r="BF280" s="647" t="s">
        <v>3009</v>
      </c>
      <c r="BG280" s="647" t="s">
        <v>3009</v>
      </c>
      <c r="BH280" s="646" t="s">
        <v>3009</v>
      </c>
      <c r="BI280" s="647" t="s">
        <v>3009</v>
      </c>
      <c r="BJ280" s="646" t="s">
        <v>3009</v>
      </c>
      <c r="BK280" s="115" t="s">
        <v>3009</v>
      </c>
      <c r="BL280" s="640" t="s">
        <v>3009</v>
      </c>
      <c r="BM280" s="115"/>
      <c r="BN280" s="115"/>
      <c r="BO280" s="115"/>
      <c r="BP280" s="115"/>
      <c r="BQ280" s="115"/>
      <c r="BR280" s="115"/>
      <c r="BS280" s="115"/>
      <c r="BT280" s="115"/>
      <c r="BU280" s="115"/>
      <c r="BV280" s="115"/>
      <c r="BW280" s="115"/>
      <c r="BX280" s="115"/>
      <c r="BY280" s="115"/>
      <c r="BZ280" s="658"/>
      <c r="CA280" s="658"/>
      <c r="CB280" s="511"/>
      <c r="CC280" s="115"/>
      <c r="CD280" s="117"/>
      <c r="CE280" s="661"/>
      <c r="CF280" s="117"/>
    </row>
    <row r="281" spans="38:84" ht="19.5" customHeight="1">
      <c r="AL281" s="143"/>
      <c r="AX281" s="542" t="s">
        <v>3010</v>
      </c>
      <c r="AY281" s="544" t="s">
        <v>3011</v>
      </c>
      <c r="AZ281" s="542" t="s">
        <v>3012</v>
      </c>
      <c r="BA281" s="547" t="s">
        <v>3013</v>
      </c>
      <c r="BB281" s="546" t="s">
        <v>3014</v>
      </c>
      <c r="BC281" s="546" t="s">
        <v>3015</v>
      </c>
      <c r="BD281" s="546" t="s">
        <v>3016</v>
      </c>
      <c r="BE281" s="547" t="s">
        <v>3017</v>
      </c>
      <c r="BF281" s="546" t="s">
        <v>3018</v>
      </c>
      <c r="BG281" s="546" t="s">
        <v>3019</v>
      </c>
      <c r="BH281" s="547" t="s">
        <v>3020</v>
      </c>
      <c r="BI281" s="546" t="s">
        <v>3021</v>
      </c>
      <c r="BJ281" s="547" t="s">
        <v>3022</v>
      </c>
      <c r="BK281" s="115" t="s">
        <v>3023</v>
      </c>
      <c r="BL281" s="115"/>
      <c r="BM281" s="115"/>
      <c r="BN281" s="115"/>
      <c r="BO281" s="115"/>
      <c r="BP281" s="115"/>
      <c r="BQ281" s="115"/>
      <c r="BR281" s="115"/>
      <c r="BS281" s="115"/>
      <c r="BT281" s="115"/>
      <c r="BU281" s="115"/>
      <c r="BV281" s="115"/>
      <c r="BW281" s="115"/>
      <c r="BX281" s="115"/>
      <c r="BY281" s="115"/>
      <c r="BZ281" s="658"/>
      <c r="CA281" s="658"/>
      <c r="CB281" s="511"/>
      <c r="CC281" s="115"/>
      <c r="CD281" s="117"/>
      <c r="CE281" s="661"/>
      <c r="CF281" s="117"/>
    </row>
    <row r="282" spans="38:84" ht="19.5" customHeight="1">
      <c r="AL282" s="143"/>
      <c r="AX282" s="542" t="s">
        <v>3024</v>
      </c>
      <c r="AY282" s="544" t="s">
        <v>3025</v>
      </c>
      <c r="AZ282" s="542" t="s">
        <v>3026</v>
      </c>
      <c r="BA282" s="547" t="s">
        <v>3027</v>
      </c>
      <c r="BB282" s="546" t="s">
        <v>3028</v>
      </c>
      <c r="BC282" s="546" t="s">
        <v>3029</v>
      </c>
      <c r="BD282" s="546" t="s">
        <v>3030</v>
      </c>
      <c r="BE282" s="547" t="s">
        <v>3031</v>
      </c>
      <c r="BF282" s="546" t="s">
        <v>3032</v>
      </c>
      <c r="BG282" s="546" t="s">
        <v>3033</v>
      </c>
      <c r="BH282" s="547" t="s">
        <v>3034</v>
      </c>
      <c r="BI282" s="546" t="s">
        <v>3035</v>
      </c>
      <c r="BJ282" s="547" t="s">
        <v>3036</v>
      </c>
      <c r="BK282" s="115" t="s">
        <v>3037</v>
      </c>
      <c r="BL282" s="115"/>
      <c r="BM282" s="115"/>
      <c r="BN282" s="115"/>
      <c r="BO282" s="115"/>
      <c r="BP282" s="115"/>
      <c r="BQ282" s="115"/>
      <c r="BR282" s="115"/>
      <c r="BS282" s="115"/>
      <c r="BT282" s="115"/>
      <c r="BU282" s="115"/>
      <c r="BV282" s="115"/>
      <c r="BW282" s="115"/>
      <c r="BX282" s="115"/>
      <c r="BY282" s="115"/>
      <c r="BZ282" s="658"/>
      <c r="CA282" s="658"/>
      <c r="CB282" s="511"/>
      <c r="CC282" s="115"/>
      <c r="CD282" s="117"/>
      <c r="CE282" s="661"/>
      <c r="CF282" s="117"/>
    </row>
    <row r="283" spans="38:84" ht="19.5" customHeight="1">
      <c r="AL283" s="143"/>
      <c r="AX283" s="542" t="s">
        <v>3038</v>
      </c>
      <c r="AY283" s="544" t="s">
        <v>3039</v>
      </c>
      <c r="AZ283" s="542" t="s">
        <v>3040</v>
      </c>
      <c r="BA283" s="547" t="s">
        <v>3041</v>
      </c>
      <c r="BB283" s="546" t="s">
        <v>3042</v>
      </c>
      <c r="BC283" s="546" t="s">
        <v>3043</v>
      </c>
      <c r="BD283" s="546" t="s">
        <v>3044</v>
      </c>
      <c r="BE283" s="547" t="s">
        <v>3045</v>
      </c>
      <c r="BF283" s="546" t="s">
        <v>3046</v>
      </c>
      <c r="BG283" s="546" t="s">
        <v>3047</v>
      </c>
      <c r="BH283" s="547" t="s">
        <v>3048</v>
      </c>
      <c r="BI283" s="546" t="s">
        <v>3049</v>
      </c>
      <c r="BJ283" s="547" t="s">
        <v>3050</v>
      </c>
      <c r="BK283" s="115" t="s">
        <v>3051</v>
      </c>
      <c r="BL283" s="115"/>
      <c r="BM283" s="115"/>
      <c r="BN283" s="115"/>
      <c r="BO283" s="115"/>
      <c r="BP283" s="115"/>
      <c r="BQ283" s="115"/>
      <c r="BR283" s="115"/>
      <c r="BS283" s="115"/>
      <c r="BT283" s="115"/>
      <c r="BU283" s="115"/>
      <c r="BV283" s="115"/>
      <c r="BW283" s="115"/>
      <c r="BX283" s="115"/>
      <c r="BY283" s="115"/>
      <c r="BZ283" s="658"/>
      <c r="CA283" s="658"/>
      <c r="CB283" s="511"/>
      <c r="CC283" s="115"/>
      <c r="CD283" s="117"/>
      <c r="CE283" s="661"/>
      <c r="CF283" s="117"/>
    </row>
    <row r="284" spans="38:84" ht="19.5" customHeight="1">
      <c r="AL284" s="143"/>
      <c r="AX284" s="542" t="s">
        <v>3052</v>
      </c>
      <c r="AY284" s="544" t="s">
        <v>3053</v>
      </c>
      <c r="AZ284" s="542" t="s">
        <v>3054</v>
      </c>
      <c r="BA284" s="547" t="s">
        <v>3055</v>
      </c>
      <c r="BB284" s="546" t="s">
        <v>3056</v>
      </c>
      <c r="BC284" s="546" t="s">
        <v>3057</v>
      </c>
      <c r="BD284" s="546" t="s">
        <v>3058</v>
      </c>
      <c r="BE284" s="547" t="s">
        <v>3059</v>
      </c>
      <c r="BF284" s="546" t="s">
        <v>3060</v>
      </c>
      <c r="BG284" s="546" t="s">
        <v>3061</v>
      </c>
      <c r="BH284" s="547" t="s">
        <v>3062</v>
      </c>
      <c r="BI284" s="546" t="s">
        <v>3063</v>
      </c>
      <c r="BJ284" s="547" t="s">
        <v>3064</v>
      </c>
      <c r="BK284" s="115" t="s">
        <v>3065</v>
      </c>
      <c r="BL284" s="115"/>
      <c r="BM284" s="115"/>
      <c r="BN284" s="115"/>
      <c r="BO284" s="115"/>
      <c r="BP284" s="115"/>
      <c r="BQ284" s="115"/>
      <c r="BR284" s="115"/>
      <c r="BS284" s="115"/>
      <c r="BT284" s="115"/>
      <c r="BU284" s="115"/>
      <c r="BV284" s="115"/>
      <c r="BW284" s="115"/>
      <c r="BX284" s="115"/>
      <c r="BY284" s="115"/>
      <c r="BZ284" s="658"/>
      <c r="CA284" s="658"/>
      <c r="CB284" s="511"/>
      <c r="CC284" s="115"/>
      <c r="CD284" s="117"/>
      <c r="CE284" s="117"/>
      <c r="CF284" s="117"/>
    </row>
    <row r="285" spans="38:84" ht="19.5" customHeight="1">
      <c r="AL285" s="143"/>
      <c r="AX285" s="542" t="s">
        <v>3066</v>
      </c>
      <c r="AY285" s="544" t="s">
        <v>3067</v>
      </c>
      <c r="AZ285" s="542" t="s">
        <v>3068</v>
      </c>
      <c r="BA285" s="547" t="s">
        <v>3069</v>
      </c>
      <c r="BB285" s="548" t="s">
        <v>3070</v>
      </c>
      <c r="BC285" s="546" t="s">
        <v>3071</v>
      </c>
      <c r="BD285" s="546" t="s">
        <v>3072</v>
      </c>
      <c r="BE285" s="547" t="s">
        <v>3073</v>
      </c>
      <c r="BF285" s="546" t="s">
        <v>3074</v>
      </c>
      <c r="BG285" s="546" t="s">
        <v>3075</v>
      </c>
      <c r="BH285" s="547" t="s">
        <v>3076</v>
      </c>
      <c r="BI285" s="546" t="s">
        <v>3077</v>
      </c>
      <c r="BJ285" s="547" t="s">
        <v>3078</v>
      </c>
      <c r="BK285" s="115" t="s">
        <v>3079</v>
      </c>
      <c r="BL285" s="115"/>
      <c r="BM285" s="115"/>
      <c r="BN285" s="115"/>
      <c r="BO285" s="115"/>
      <c r="BP285" s="115"/>
      <c r="BQ285" s="115"/>
      <c r="BR285" s="115"/>
      <c r="BS285" s="115"/>
      <c r="BT285" s="115"/>
      <c r="BU285" s="115"/>
      <c r="BV285" s="115"/>
      <c r="BW285" s="115"/>
      <c r="BX285" s="115"/>
      <c r="BY285" s="115"/>
      <c r="BZ285" s="658"/>
      <c r="CA285" s="658"/>
      <c r="CB285" s="511"/>
      <c r="CC285" s="115"/>
      <c r="CD285" s="117"/>
      <c r="CE285" s="117"/>
      <c r="CF285" s="117"/>
    </row>
    <row r="286" spans="38:84" ht="19.5" customHeight="1">
      <c r="AL286" s="143"/>
      <c r="AX286" s="542" t="s">
        <v>3080</v>
      </c>
      <c r="AY286" s="544" t="s">
        <v>3081</v>
      </c>
      <c r="AZ286" s="542" t="s">
        <v>3082</v>
      </c>
      <c r="BA286" s="547" t="s">
        <v>3083</v>
      </c>
      <c r="BB286" s="115"/>
      <c r="BC286" s="546" t="s">
        <v>3084</v>
      </c>
      <c r="BD286" s="546" t="s">
        <v>3085</v>
      </c>
      <c r="BE286" s="547" t="s">
        <v>3086</v>
      </c>
      <c r="BF286" s="546" t="s">
        <v>3087</v>
      </c>
      <c r="BG286" s="546" t="s">
        <v>3088</v>
      </c>
      <c r="BH286" s="547" t="s">
        <v>3089</v>
      </c>
      <c r="BI286" s="546" t="s">
        <v>3090</v>
      </c>
      <c r="BJ286" s="547" t="s">
        <v>3091</v>
      </c>
      <c r="BK286" s="115"/>
      <c r="BL286" s="115"/>
      <c r="BM286" s="115"/>
      <c r="BN286" s="115"/>
      <c r="BO286" s="115"/>
      <c r="BP286" s="115"/>
      <c r="BQ286" s="115"/>
      <c r="BR286" s="115"/>
      <c r="BS286" s="115"/>
      <c r="BT286" s="115"/>
      <c r="BU286" s="115"/>
      <c r="BV286" s="115"/>
      <c r="BW286" s="115"/>
      <c r="BX286" s="115"/>
      <c r="BY286" s="115"/>
      <c r="BZ286" s="658"/>
      <c r="CA286" s="658"/>
      <c r="CB286" s="511"/>
      <c r="CC286" s="115"/>
      <c r="CD286" s="117"/>
      <c r="CE286" s="117"/>
      <c r="CF286" s="117"/>
    </row>
    <row r="287" spans="38:84" ht="19.5" customHeight="1">
      <c r="AL287" s="143"/>
      <c r="AX287" s="542" t="s">
        <v>3092</v>
      </c>
      <c r="AY287" s="544" t="s">
        <v>3093</v>
      </c>
      <c r="AZ287" s="542" t="s">
        <v>3094</v>
      </c>
      <c r="BA287" s="547" t="s">
        <v>3095</v>
      </c>
      <c r="BB287" s="115"/>
      <c r="BC287" s="546" t="s">
        <v>3096</v>
      </c>
      <c r="BD287" s="546" t="s">
        <v>3097</v>
      </c>
      <c r="BE287" s="547" t="s">
        <v>3098</v>
      </c>
      <c r="BF287" s="546" t="s">
        <v>3099</v>
      </c>
      <c r="BG287" s="546" t="s">
        <v>3100</v>
      </c>
      <c r="BH287" s="547" t="s">
        <v>3101</v>
      </c>
      <c r="BI287" s="546" t="s">
        <v>3102</v>
      </c>
      <c r="BJ287" s="547" t="s">
        <v>3103</v>
      </c>
      <c r="BK287" s="115"/>
      <c r="BL287" s="115"/>
      <c r="BM287" s="115"/>
      <c r="BN287" s="115"/>
      <c r="BO287" s="115"/>
      <c r="BP287" s="115"/>
      <c r="BQ287" s="115"/>
      <c r="BR287" s="115"/>
      <c r="BS287" s="115"/>
      <c r="BT287" s="115"/>
      <c r="BU287" s="115"/>
      <c r="BV287" s="115"/>
      <c r="BW287" s="115"/>
      <c r="BX287" s="115"/>
      <c r="BY287" s="115"/>
      <c r="BZ287" s="658"/>
      <c r="CA287" s="658"/>
      <c r="CB287" s="511"/>
      <c r="CC287" s="115"/>
      <c r="CD287" s="117"/>
      <c r="CE287" s="117"/>
      <c r="CF287" s="117"/>
    </row>
    <row r="288" spans="38:84" ht="19.5" customHeight="1">
      <c r="AL288" s="143"/>
      <c r="AX288" s="542" t="s">
        <v>3104</v>
      </c>
      <c r="AY288" s="544" t="s">
        <v>3105</v>
      </c>
      <c r="AZ288" s="542" t="s">
        <v>3106</v>
      </c>
      <c r="BA288" s="547" t="s">
        <v>3107</v>
      </c>
      <c r="BB288" s="115"/>
      <c r="BC288" s="546" t="s">
        <v>3108</v>
      </c>
      <c r="BD288" s="546" t="s">
        <v>3109</v>
      </c>
      <c r="BE288" s="547" t="s">
        <v>3110</v>
      </c>
      <c r="BF288" s="548" t="s">
        <v>3111</v>
      </c>
      <c r="BG288" s="546" t="s">
        <v>3112</v>
      </c>
      <c r="BH288" s="547" t="s">
        <v>3113</v>
      </c>
      <c r="BI288" s="546" t="s">
        <v>3114</v>
      </c>
      <c r="BJ288" s="547" t="s">
        <v>3115</v>
      </c>
      <c r="BK288" s="115"/>
      <c r="BL288" s="115"/>
      <c r="BM288" s="115"/>
      <c r="BN288" s="115"/>
      <c r="BO288" s="115"/>
      <c r="BP288" s="115"/>
      <c r="BQ288" s="115"/>
      <c r="BR288" s="115"/>
      <c r="BS288" s="115"/>
      <c r="BT288" s="115"/>
      <c r="BU288" s="115"/>
      <c r="BV288" s="115"/>
      <c r="BW288" s="115"/>
      <c r="BX288" s="115"/>
      <c r="BY288" s="115"/>
      <c r="BZ288" s="658"/>
      <c r="CA288" s="658"/>
      <c r="CB288" s="511"/>
      <c r="CC288" s="115"/>
      <c r="CD288" s="117"/>
      <c r="CE288" s="117"/>
      <c r="CF288" s="117"/>
    </row>
    <row r="289" spans="38:84" ht="19.5" customHeight="1">
      <c r="AL289" s="143"/>
      <c r="AX289" s="542" t="s">
        <v>3116</v>
      </c>
      <c r="AY289" s="637" t="s">
        <v>3117</v>
      </c>
      <c r="AZ289" s="542" t="s">
        <v>3118</v>
      </c>
      <c r="BA289" s="547" t="s">
        <v>3119</v>
      </c>
      <c r="BB289" s="115"/>
      <c r="BC289" s="548" t="s">
        <v>3120</v>
      </c>
      <c r="BD289" s="546" t="s">
        <v>3121</v>
      </c>
      <c r="BE289" s="547" t="s">
        <v>3122</v>
      </c>
      <c r="BF289" s="115"/>
      <c r="BG289" s="546" t="s">
        <v>3123</v>
      </c>
      <c r="BH289" s="547" t="s">
        <v>3124</v>
      </c>
      <c r="BI289" s="546" t="s">
        <v>3125</v>
      </c>
      <c r="BJ289" s="547" t="s">
        <v>3126</v>
      </c>
      <c r="BK289" s="115"/>
      <c r="BL289" s="115"/>
      <c r="BM289" s="115"/>
      <c r="BN289" s="115"/>
      <c r="BO289" s="115"/>
      <c r="BP289" s="115"/>
      <c r="BQ289" s="115"/>
      <c r="BR289" s="115"/>
      <c r="BS289" s="115"/>
      <c r="BT289" s="115"/>
      <c r="BU289" s="115"/>
      <c r="BV289" s="115"/>
      <c r="BW289" s="115"/>
      <c r="BX289" s="115"/>
      <c r="BY289" s="115"/>
      <c r="BZ289" s="658"/>
      <c r="CA289" s="658"/>
      <c r="CB289" s="511"/>
      <c r="CC289" s="115"/>
      <c r="CD289" s="117"/>
      <c r="CE289" s="117"/>
      <c r="CF289" s="117"/>
    </row>
    <row r="290" spans="38:84" ht="19.5" customHeight="1">
      <c r="AL290" s="143"/>
      <c r="AX290" s="542" t="s">
        <v>3127</v>
      </c>
      <c r="AY290" s="114"/>
      <c r="AZ290" s="542" t="s">
        <v>3128</v>
      </c>
      <c r="BA290" s="549" t="s">
        <v>3129</v>
      </c>
      <c r="BB290" s="115"/>
      <c r="BC290" s="115"/>
      <c r="BD290" s="546" t="s">
        <v>3130</v>
      </c>
      <c r="BE290" s="547" t="s">
        <v>3131</v>
      </c>
      <c r="BF290" s="115"/>
      <c r="BG290" s="546" t="s">
        <v>3132</v>
      </c>
      <c r="BH290" s="547" t="s">
        <v>3133</v>
      </c>
      <c r="BI290" s="548" t="s">
        <v>3134</v>
      </c>
      <c r="BJ290" s="547" t="s">
        <v>3135</v>
      </c>
      <c r="BK290" s="115"/>
      <c r="BL290" s="115"/>
      <c r="BM290" s="115"/>
      <c r="BN290" s="115"/>
      <c r="BO290" s="115"/>
      <c r="BP290" s="115"/>
      <c r="BQ290" s="115"/>
      <c r="BR290" s="115"/>
      <c r="BS290" s="115"/>
      <c r="BT290" s="115"/>
      <c r="BU290" s="115"/>
      <c r="BV290" s="115"/>
      <c r="BW290" s="115"/>
      <c r="BX290" s="115"/>
      <c r="BY290" s="115"/>
      <c r="BZ290" s="658"/>
      <c r="CA290" s="658"/>
      <c r="CB290" s="511"/>
      <c r="CC290" s="115"/>
      <c r="CD290" s="117"/>
      <c r="CE290" s="117"/>
      <c r="CF290" s="117"/>
    </row>
    <row r="291" spans="38:84" ht="19.5" customHeight="1">
      <c r="AL291" s="143"/>
      <c r="AX291" s="542" t="s">
        <v>3136</v>
      </c>
      <c r="AY291" s="114"/>
      <c r="AZ291" s="542" t="s">
        <v>3137</v>
      </c>
      <c r="BA291" s="115"/>
      <c r="BB291" s="115"/>
      <c r="BC291" s="115"/>
      <c r="BD291" s="548" t="s">
        <v>3138</v>
      </c>
      <c r="BE291" s="547" t="s">
        <v>3139</v>
      </c>
      <c r="BF291" s="115"/>
      <c r="BG291" s="546" t="s">
        <v>3140</v>
      </c>
      <c r="BH291" s="547" t="s">
        <v>3141</v>
      </c>
      <c r="BI291" s="115"/>
      <c r="BJ291" s="547" t="s">
        <v>3142</v>
      </c>
      <c r="BK291" s="115"/>
      <c r="BL291" s="115"/>
      <c r="BM291" s="115"/>
      <c r="BN291" s="115"/>
      <c r="BO291" s="115"/>
      <c r="BP291" s="115"/>
      <c r="BQ291" s="115"/>
      <c r="BR291" s="115"/>
      <c r="BS291" s="115"/>
      <c r="BT291" s="115"/>
      <c r="BU291" s="115"/>
      <c r="BV291" s="115"/>
      <c r="BW291" s="115"/>
      <c r="BX291" s="115"/>
      <c r="BY291" s="115"/>
      <c r="BZ291" s="658"/>
      <c r="CA291" s="658"/>
      <c r="CB291" s="511"/>
      <c r="CC291" s="115"/>
      <c r="CD291" s="117"/>
      <c r="CE291" s="117"/>
      <c r="CF291" s="117"/>
    </row>
    <row r="292" spans="38:84" ht="19.5" customHeight="1">
      <c r="AL292" s="143"/>
      <c r="AX292" s="542" t="s">
        <v>3143</v>
      </c>
      <c r="AY292" s="114"/>
      <c r="AZ292" s="542" t="s">
        <v>3144</v>
      </c>
      <c r="BA292" s="115"/>
      <c r="BB292" s="115"/>
      <c r="BC292" s="115"/>
      <c r="BD292" s="115"/>
      <c r="BE292" s="547" t="s">
        <v>3145</v>
      </c>
      <c r="BF292" s="115"/>
      <c r="BG292" s="546" t="s">
        <v>3146</v>
      </c>
      <c r="BH292" s="547" t="s">
        <v>3147</v>
      </c>
      <c r="BI292" s="115"/>
      <c r="BJ292" s="547" t="s">
        <v>3148</v>
      </c>
      <c r="BK292" s="115"/>
      <c r="BL292" s="115"/>
      <c r="BM292" s="115"/>
      <c r="BN292" s="115"/>
      <c r="BO292" s="115"/>
      <c r="BP292" s="115"/>
      <c r="BQ292" s="115"/>
      <c r="BR292" s="115"/>
      <c r="BS292" s="115"/>
      <c r="BT292" s="115"/>
      <c r="BU292" s="115"/>
      <c r="BV292" s="115"/>
      <c r="BW292" s="115"/>
      <c r="BX292" s="115"/>
      <c r="BY292" s="115"/>
      <c r="BZ292" s="658"/>
      <c r="CA292" s="658"/>
      <c r="CB292" s="511"/>
      <c r="CC292" s="115"/>
      <c r="CD292" s="117"/>
      <c r="CE292" s="117"/>
      <c r="CF292" s="117"/>
    </row>
    <row r="293" spans="38:84" ht="19.5" customHeight="1">
      <c r="AL293" s="143"/>
      <c r="AX293" s="545" t="s">
        <v>3149</v>
      </c>
      <c r="AY293" s="114"/>
      <c r="AZ293" s="542" t="s">
        <v>3150</v>
      </c>
      <c r="BA293" s="115"/>
      <c r="BB293" s="115"/>
      <c r="BC293" s="115"/>
      <c r="BD293" s="115"/>
      <c r="BE293" s="547" t="s">
        <v>3151</v>
      </c>
      <c r="BF293" s="115"/>
      <c r="BG293" s="546" t="s">
        <v>3152</v>
      </c>
      <c r="BH293" s="547" t="s">
        <v>3153</v>
      </c>
      <c r="BI293" s="115"/>
      <c r="BJ293" s="549" t="s">
        <v>3154</v>
      </c>
      <c r="BK293" s="115"/>
      <c r="BL293" s="115"/>
      <c r="BM293" s="115"/>
      <c r="BN293" s="115"/>
      <c r="BO293" s="115"/>
      <c r="BP293" s="115"/>
      <c r="BQ293" s="115"/>
      <c r="BR293" s="115"/>
      <c r="BS293" s="115"/>
      <c r="BT293" s="115"/>
      <c r="BU293" s="115"/>
      <c r="BV293" s="115"/>
      <c r="BW293" s="115"/>
      <c r="BX293" s="115"/>
      <c r="BY293" s="115"/>
      <c r="BZ293" s="658"/>
      <c r="CA293" s="658"/>
      <c r="CB293" s="511"/>
      <c r="CC293" s="115"/>
      <c r="CD293" s="117"/>
      <c r="CE293" s="117"/>
      <c r="CF293" s="117"/>
    </row>
    <row r="294" spans="38:84" ht="19.5" customHeight="1">
      <c r="AL294" s="143"/>
      <c r="AX294" s="114"/>
      <c r="AY294" s="114"/>
      <c r="AZ294" s="542" t="s">
        <v>3155</v>
      </c>
      <c r="BA294" s="115"/>
      <c r="BB294" s="115"/>
      <c r="BC294" s="115"/>
      <c r="BD294" s="115"/>
      <c r="BE294" s="549" t="s">
        <v>3156</v>
      </c>
      <c r="BF294" s="115"/>
      <c r="BG294" s="546" t="s">
        <v>3157</v>
      </c>
      <c r="BH294" s="547" t="s">
        <v>3158</v>
      </c>
      <c r="BI294" s="115"/>
      <c r="BJ294" s="115"/>
      <c r="BK294" s="115"/>
      <c r="BL294" s="115"/>
      <c r="BM294" s="115"/>
      <c r="BN294" s="115"/>
      <c r="BO294" s="115"/>
      <c r="BP294" s="115"/>
      <c r="BQ294" s="115"/>
      <c r="BR294" s="115"/>
      <c r="BS294" s="115"/>
      <c r="BT294" s="115"/>
      <c r="BU294" s="115"/>
      <c r="BV294" s="115"/>
      <c r="BW294" s="115"/>
      <c r="BX294" s="115"/>
      <c r="BY294" s="115"/>
      <c r="BZ294" s="658"/>
      <c r="CA294" s="658"/>
      <c r="CB294" s="511"/>
      <c r="CC294" s="115"/>
      <c r="CD294" s="117"/>
      <c r="CE294" s="117"/>
      <c r="CF294" s="117"/>
    </row>
    <row r="295" spans="38:84" ht="19.5" customHeight="1">
      <c r="AL295" s="143"/>
      <c r="AX295" s="114"/>
      <c r="AY295" s="114"/>
      <c r="AZ295" s="542" t="s">
        <v>3159</v>
      </c>
      <c r="BA295" s="115"/>
      <c r="BB295" s="115"/>
      <c r="BC295" s="115"/>
      <c r="BD295" s="115"/>
      <c r="BE295" s="115"/>
      <c r="BF295" s="115"/>
      <c r="BG295" s="546" t="s">
        <v>3160</v>
      </c>
      <c r="BH295" s="547" t="s">
        <v>3161</v>
      </c>
      <c r="BI295" s="115"/>
      <c r="BJ295" s="115"/>
      <c r="BK295" s="115"/>
      <c r="BL295" s="115"/>
      <c r="BM295" s="115"/>
      <c r="BN295" s="115"/>
      <c r="BO295" s="115"/>
      <c r="BP295" s="115"/>
      <c r="BQ295" s="115"/>
      <c r="BR295" s="115"/>
      <c r="BS295" s="115"/>
      <c r="BT295" s="115"/>
      <c r="BU295" s="115"/>
      <c r="BV295" s="115"/>
      <c r="BW295" s="115"/>
      <c r="BX295" s="115"/>
      <c r="BY295" s="115"/>
      <c r="BZ295" s="658"/>
      <c r="CA295" s="658"/>
      <c r="CB295" s="511"/>
      <c r="CC295" s="115"/>
      <c r="CD295" s="117"/>
      <c r="CE295" s="117"/>
      <c r="CF295" s="117"/>
    </row>
    <row r="296" spans="38:84" ht="19.5" customHeight="1">
      <c r="AL296" s="143"/>
      <c r="AX296" s="114"/>
      <c r="AY296" s="114"/>
      <c r="AZ296" s="542" t="s">
        <v>3162</v>
      </c>
      <c r="BA296" s="115"/>
      <c r="BB296" s="115"/>
      <c r="BC296" s="115"/>
      <c r="BD296" s="115"/>
      <c r="BE296" s="115"/>
      <c r="BF296" s="115"/>
      <c r="BG296" s="546" t="s">
        <v>3163</v>
      </c>
      <c r="BH296" s="547" t="s">
        <v>3164</v>
      </c>
      <c r="BI296" s="115"/>
      <c r="BJ296" s="115"/>
      <c r="BK296" s="115"/>
      <c r="BL296" s="115"/>
      <c r="BM296" s="115"/>
      <c r="BN296" s="115"/>
      <c r="BO296" s="115"/>
      <c r="BP296" s="115"/>
      <c r="BQ296" s="115"/>
      <c r="BR296" s="115"/>
      <c r="BS296" s="115"/>
      <c r="BT296" s="115"/>
      <c r="BU296" s="115"/>
      <c r="BV296" s="115"/>
      <c r="BW296" s="115"/>
      <c r="BX296" s="115"/>
      <c r="BY296" s="115"/>
      <c r="BZ296" s="658"/>
      <c r="CA296" s="658"/>
      <c r="CB296" s="511"/>
      <c r="CC296" s="115"/>
      <c r="CD296" s="117"/>
      <c r="CE296" s="117"/>
      <c r="CF296" s="117"/>
    </row>
    <row r="297" spans="38:84" ht="19.5" customHeight="1">
      <c r="AL297" s="143"/>
      <c r="AX297" s="114"/>
      <c r="AY297" s="114"/>
      <c r="AZ297" s="545" t="s">
        <v>3165</v>
      </c>
      <c r="BA297" s="115"/>
      <c r="BB297" s="115"/>
      <c r="BC297" s="115"/>
      <c r="BD297" s="115"/>
      <c r="BE297" s="115"/>
      <c r="BF297" s="115"/>
      <c r="BG297" s="546" t="s">
        <v>3166</v>
      </c>
      <c r="BH297" s="547" t="s">
        <v>3167</v>
      </c>
      <c r="BI297" s="115"/>
      <c r="BJ297" s="115"/>
      <c r="BK297" s="115"/>
      <c r="BL297" s="115"/>
      <c r="BM297" s="115"/>
      <c r="BN297" s="115"/>
      <c r="BO297" s="115"/>
      <c r="BP297" s="115"/>
      <c r="BQ297" s="115"/>
      <c r="BR297" s="115"/>
      <c r="BS297" s="115"/>
      <c r="BT297" s="115"/>
      <c r="BU297" s="115"/>
      <c r="BV297" s="115"/>
      <c r="BW297" s="115"/>
      <c r="BX297" s="115"/>
      <c r="BY297" s="115"/>
      <c r="BZ297" s="658"/>
      <c r="CA297" s="658"/>
      <c r="CB297" s="511"/>
      <c r="CC297" s="115"/>
      <c r="CD297" s="117"/>
      <c r="CE297" s="117"/>
      <c r="CF297" s="117"/>
    </row>
    <row r="298" spans="38:84" ht="19.5" customHeight="1">
      <c r="AL298" s="143"/>
      <c r="AX298" s="114"/>
      <c r="AY298" s="114"/>
      <c r="AZ298" s="114"/>
      <c r="BA298" s="115"/>
      <c r="BB298" s="115"/>
      <c r="BC298" s="115"/>
      <c r="BD298" s="115"/>
      <c r="BE298" s="115"/>
      <c r="BF298" s="115"/>
      <c r="BG298" s="546" t="s">
        <v>3168</v>
      </c>
      <c r="BH298" s="547" t="s">
        <v>3169</v>
      </c>
      <c r="BI298" s="115"/>
      <c r="BJ298" s="115"/>
      <c r="BK298" s="115"/>
      <c r="BL298" s="115"/>
      <c r="BM298" s="115"/>
      <c r="BN298" s="115"/>
      <c r="BO298" s="115"/>
      <c r="BP298" s="115"/>
      <c r="BQ298" s="115"/>
      <c r="BR298" s="115"/>
      <c r="BS298" s="115"/>
      <c r="BT298" s="115"/>
      <c r="BU298" s="115"/>
      <c r="BV298" s="115"/>
      <c r="BW298" s="115"/>
      <c r="BX298" s="115"/>
      <c r="BY298" s="115"/>
      <c r="BZ298" s="658"/>
      <c r="CA298" s="658"/>
      <c r="CB298" s="511"/>
      <c r="CC298" s="115"/>
      <c r="CD298" s="117"/>
      <c r="CE298" s="117"/>
      <c r="CF298" s="117"/>
    </row>
    <row r="299" spans="38:84" ht="19.5" customHeight="1">
      <c r="AL299" s="143"/>
      <c r="AX299" s="114"/>
      <c r="AY299" s="114"/>
      <c r="AZ299" s="114"/>
      <c r="BA299" s="115"/>
      <c r="BB299" s="115"/>
      <c r="BC299" s="115"/>
      <c r="BD299" s="115"/>
      <c r="BE299" s="115"/>
      <c r="BF299" s="115"/>
      <c r="BG299" s="546" t="s">
        <v>3170</v>
      </c>
      <c r="BH299" s="547" t="s">
        <v>3171</v>
      </c>
      <c r="BI299" s="115"/>
      <c r="BJ299" s="115"/>
      <c r="BK299" s="115"/>
      <c r="BL299" s="115"/>
      <c r="BM299" s="115"/>
      <c r="BN299" s="115"/>
      <c r="BO299" s="115"/>
      <c r="BP299" s="115"/>
      <c r="BQ299" s="115"/>
      <c r="BR299" s="115"/>
      <c r="BS299" s="115"/>
      <c r="BT299" s="115"/>
      <c r="BU299" s="115"/>
      <c r="BV299" s="115"/>
      <c r="BW299" s="115"/>
      <c r="BX299" s="115"/>
      <c r="BY299" s="115"/>
      <c r="BZ299" s="658"/>
      <c r="CA299" s="658"/>
      <c r="CB299" s="511"/>
      <c r="CC299" s="115"/>
      <c r="CD299" s="117"/>
      <c r="CE299" s="117"/>
      <c r="CF299" s="117"/>
    </row>
    <row r="300" spans="38:84" ht="19.5" customHeight="1">
      <c r="AL300" s="143"/>
      <c r="AX300" s="114"/>
      <c r="AY300" s="114"/>
      <c r="AZ300" s="114"/>
      <c r="BA300" s="115"/>
      <c r="BB300" s="115"/>
      <c r="BC300" s="115"/>
      <c r="BD300" s="115"/>
      <c r="BE300" s="115"/>
      <c r="BF300" s="115"/>
      <c r="BG300" s="546" t="s">
        <v>3172</v>
      </c>
      <c r="BH300" s="547" t="s">
        <v>3173</v>
      </c>
      <c r="BI300" s="115"/>
      <c r="BJ300" s="115"/>
      <c r="BK300" s="115"/>
      <c r="BL300" s="115"/>
      <c r="BM300" s="115"/>
      <c r="BN300" s="115"/>
      <c r="BO300" s="115"/>
      <c r="BP300" s="115"/>
      <c r="BQ300" s="115"/>
      <c r="BR300" s="115"/>
      <c r="BS300" s="115"/>
      <c r="BT300" s="115"/>
      <c r="BU300" s="115"/>
      <c r="BV300" s="115"/>
      <c r="BW300" s="115"/>
      <c r="BX300" s="115"/>
      <c r="BY300" s="115"/>
      <c r="BZ300" s="658"/>
      <c r="CA300" s="658"/>
      <c r="CB300" s="511"/>
      <c r="CC300" s="115"/>
      <c r="CD300" s="117"/>
      <c r="CE300" s="117"/>
      <c r="CF300" s="117"/>
    </row>
    <row r="301" spans="38:84" ht="19.5" customHeight="1">
      <c r="AL301" s="143"/>
      <c r="AX301" s="114"/>
      <c r="AY301" s="114"/>
      <c r="AZ301" s="114"/>
      <c r="BA301" s="115"/>
      <c r="BB301" s="115"/>
      <c r="BC301" s="115"/>
      <c r="BD301" s="115"/>
      <c r="BE301" s="115"/>
      <c r="BF301" s="115"/>
      <c r="BG301" s="546" t="s">
        <v>3174</v>
      </c>
      <c r="BH301" s="547" t="s">
        <v>3175</v>
      </c>
      <c r="BI301" s="115"/>
      <c r="BJ301" s="115"/>
      <c r="BK301" s="115"/>
      <c r="BL301" s="115"/>
      <c r="BM301" s="115"/>
      <c r="BN301" s="115"/>
      <c r="BO301" s="115"/>
      <c r="BP301" s="115"/>
      <c r="BQ301" s="115"/>
      <c r="BR301" s="115"/>
      <c r="BS301" s="115"/>
      <c r="BT301" s="115"/>
      <c r="BU301" s="115"/>
      <c r="BV301" s="115"/>
      <c r="BW301" s="115"/>
      <c r="BX301" s="115"/>
      <c r="BY301" s="115"/>
      <c r="BZ301" s="658"/>
      <c r="CA301" s="658"/>
      <c r="CB301" s="511"/>
      <c r="CC301" s="115"/>
      <c r="CD301" s="117"/>
      <c r="CE301" s="117"/>
      <c r="CF301" s="117"/>
    </row>
    <row r="302" spans="38:84" ht="19.5" customHeight="1">
      <c r="AL302" s="143"/>
      <c r="AX302" s="114"/>
      <c r="AY302" s="114"/>
      <c r="AZ302" s="114"/>
      <c r="BA302" s="115"/>
      <c r="BB302" s="115"/>
      <c r="BC302" s="115"/>
      <c r="BD302" s="115"/>
      <c r="BE302" s="115"/>
      <c r="BF302" s="115"/>
      <c r="BG302" s="546" t="s">
        <v>3176</v>
      </c>
      <c r="BH302" s="547" t="s">
        <v>3177</v>
      </c>
      <c r="BI302" s="115"/>
      <c r="BJ302" s="115"/>
      <c r="BK302" s="115"/>
      <c r="BL302" s="115"/>
      <c r="BM302" s="115"/>
      <c r="BN302" s="115"/>
      <c r="BO302" s="115"/>
      <c r="BP302" s="115"/>
      <c r="BQ302" s="115"/>
      <c r="BR302" s="115"/>
      <c r="BS302" s="115"/>
      <c r="BT302" s="115"/>
      <c r="BU302" s="115"/>
      <c r="BV302" s="115"/>
      <c r="BW302" s="115"/>
      <c r="BX302" s="115"/>
      <c r="BY302" s="115"/>
      <c r="BZ302" s="658"/>
      <c r="CA302" s="658"/>
      <c r="CB302" s="511"/>
      <c r="CC302" s="115"/>
      <c r="CD302" s="117"/>
      <c r="CE302" s="117"/>
      <c r="CF302" s="117"/>
    </row>
    <row r="303" spans="38:84" ht="19.5" customHeight="1">
      <c r="AL303" s="143"/>
      <c r="AX303" s="114"/>
      <c r="AY303" s="114"/>
      <c r="AZ303" s="114"/>
      <c r="BA303" s="115"/>
      <c r="BB303" s="115"/>
      <c r="BC303" s="115"/>
      <c r="BD303" s="115"/>
      <c r="BE303" s="115"/>
      <c r="BF303" s="115"/>
      <c r="BG303" s="546" t="s">
        <v>3178</v>
      </c>
      <c r="BH303" s="547" t="s">
        <v>3179</v>
      </c>
      <c r="BI303" s="115"/>
      <c r="BJ303" s="115"/>
      <c r="BK303" s="115"/>
      <c r="BL303" s="115"/>
      <c r="BM303" s="115"/>
      <c r="BN303" s="115"/>
      <c r="BO303" s="115"/>
      <c r="BP303" s="115"/>
      <c r="BQ303" s="115"/>
      <c r="BR303" s="115"/>
      <c r="BS303" s="115"/>
      <c r="BT303" s="115"/>
      <c r="BU303" s="115"/>
      <c r="BV303" s="115"/>
      <c r="BW303" s="115"/>
      <c r="BX303" s="115"/>
      <c r="BY303" s="115"/>
      <c r="BZ303" s="658"/>
      <c r="CA303" s="658"/>
      <c r="CB303" s="511"/>
      <c r="CC303" s="115"/>
      <c r="CD303" s="117"/>
      <c r="CE303" s="117"/>
      <c r="CF303" s="117"/>
    </row>
    <row r="304" spans="38:84" ht="19.5" customHeight="1">
      <c r="AL304" s="143"/>
      <c r="AX304" s="114"/>
      <c r="AY304" s="114"/>
      <c r="AZ304" s="114"/>
      <c r="BA304" s="115"/>
      <c r="BB304" s="115"/>
      <c r="BC304" s="115"/>
      <c r="BD304" s="115"/>
      <c r="BE304" s="115"/>
      <c r="BF304" s="115"/>
      <c r="BG304" s="546" t="s">
        <v>3180</v>
      </c>
      <c r="BH304" s="547" t="s">
        <v>3181</v>
      </c>
      <c r="BI304" s="115"/>
      <c r="BJ304" s="115"/>
      <c r="BK304" s="115"/>
      <c r="BL304" s="115"/>
      <c r="BM304" s="115"/>
      <c r="BN304" s="115"/>
      <c r="BO304" s="115"/>
      <c r="BP304" s="115"/>
      <c r="BQ304" s="115"/>
      <c r="BR304" s="115"/>
      <c r="BS304" s="115"/>
      <c r="BT304" s="115"/>
      <c r="BU304" s="115"/>
      <c r="BV304" s="115"/>
      <c r="BW304" s="115"/>
      <c r="BX304" s="115"/>
      <c r="BY304" s="115"/>
      <c r="BZ304" s="658"/>
      <c r="CA304" s="658"/>
      <c r="CB304" s="511"/>
      <c r="CC304" s="115"/>
      <c r="CD304" s="117"/>
      <c r="CE304" s="117"/>
      <c r="CF304" s="117"/>
    </row>
    <row r="305" spans="38:84" ht="19.5" customHeight="1">
      <c r="AL305" s="143"/>
      <c r="AX305" s="114"/>
      <c r="AY305" s="114"/>
      <c r="AZ305" s="114"/>
      <c r="BA305" s="115"/>
      <c r="BB305" s="115"/>
      <c r="BC305" s="115"/>
      <c r="BD305" s="115"/>
      <c r="BE305" s="115"/>
      <c r="BF305" s="115"/>
      <c r="BG305" s="548" t="s">
        <v>3182</v>
      </c>
      <c r="BH305" s="547" t="s">
        <v>3183</v>
      </c>
      <c r="BI305" s="115"/>
      <c r="BJ305" s="115"/>
      <c r="BK305" s="115"/>
      <c r="BL305" s="115"/>
      <c r="BM305" s="115"/>
      <c r="BN305" s="115"/>
      <c r="BO305" s="115"/>
      <c r="BP305" s="115"/>
      <c r="BQ305" s="115"/>
      <c r="BR305" s="115"/>
      <c r="BS305" s="115"/>
      <c r="BT305" s="115"/>
      <c r="BU305" s="115"/>
      <c r="BV305" s="115"/>
      <c r="BW305" s="115"/>
      <c r="BX305" s="115"/>
      <c r="BY305" s="115"/>
      <c r="BZ305" s="658"/>
      <c r="CA305" s="658"/>
      <c r="CB305" s="511"/>
      <c r="CC305" s="115"/>
      <c r="CD305" s="117"/>
      <c r="CE305" s="117"/>
      <c r="CF305" s="117"/>
    </row>
    <row r="306" spans="38:84" ht="19.5" customHeight="1">
      <c r="AL306" s="143"/>
      <c r="AX306" s="114"/>
      <c r="AY306" s="114"/>
      <c r="AZ306" s="114"/>
      <c r="BA306" s="115"/>
      <c r="BB306" s="115"/>
      <c r="BC306" s="115"/>
      <c r="BD306" s="115"/>
      <c r="BE306" s="115"/>
      <c r="BF306" s="115"/>
      <c r="BG306" s="115"/>
      <c r="BH306" s="547" t="s">
        <v>3184</v>
      </c>
      <c r="BI306" s="115"/>
      <c r="BJ306" s="115"/>
      <c r="BK306" s="115"/>
      <c r="BL306" s="115"/>
      <c r="BM306" s="115"/>
      <c r="BN306" s="115"/>
      <c r="BO306" s="115"/>
      <c r="BP306" s="115"/>
      <c r="BQ306" s="115"/>
      <c r="BR306" s="115"/>
      <c r="BS306" s="115"/>
      <c r="BT306" s="115"/>
      <c r="BU306" s="115"/>
      <c r="BV306" s="115"/>
      <c r="BW306" s="115"/>
      <c r="BX306" s="115"/>
      <c r="BY306" s="115"/>
      <c r="BZ306" s="658"/>
      <c r="CA306" s="658"/>
      <c r="CB306" s="511"/>
      <c r="CC306" s="115"/>
      <c r="CD306" s="117"/>
      <c r="CE306" s="117"/>
      <c r="CF306" s="117"/>
    </row>
    <row r="307" spans="38:84" ht="19.5" customHeight="1">
      <c r="AL307" s="143"/>
      <c r="AX307" s="114"/>
      <c r="AY307" s="114"/>
      <c r="AZ307" s="114"/>
      <c r="BA307" s="115"/>
      <c r="BB307" s="115"/>
      <c r="BC307" s="115"/>
      <c r="BD307" s="115"/>
      <c r="BE307" s="115"/>
      <c r="BF307" s="115"/>
      <c r="BG307" s="115"/>
      <c r="BH307" s="547" t="s">
        <v>3185</v>
      </c>
      <c r="BI307" s="115"/>
      <c r="BJ307" s="115"/>
      <c r="BK307" s="115"/>
      <c r="BL307" s="115"/>
      <c r="BM307" s="115"/>
      <c r="BN307" s="115"/>
      <c r="BO307" s="115"/>
      <c r="BP307" s="115"/>
      <c r="BQ307" s="115"/>
      <c r="BR307" s="115"/>
      <c r="BS307" s="115"/>
      <c r="BT307" s="115"/>
      <c r="BU307" s="115"/>
      <c r="BV307" s="115"/>
      <c r="BW307" s="115"/>
      <c r="BX307" s="115"/>
      <c r="BY307" s="115"/>
      <c r="BZ307" s="658"/>
      <c r="CA307" s="658"/>
      <c r="CB307" s="511"/>
      <c r="CC307" s="115"/>
      <c r="CD307" s="117"/>
      <c r="CE307" s="117"/>
      <c r="CF307" s="117"/>
    </row>
    <row r="308" spans="38:84" ht="19.5" customHeight="1">
      <c r="AL308" s="143"/>
      <c r="AX308" s="114"/>
      <c r="AY308" s="114"/>
      <c r="AZ308" s="114"/>
      <c r="BA308" s="115"/>
      <c r="BB308" s="115"/>
      <c r="BC308" s="115"/>
      <c r="BD308" s="115"/>
      <c r="BE308" s="115"/>
      <c r="BF308" s="115"/>
      <c r="BG308" s="115"/>
      <c r="BH308" s="547" t="s">
        <v>3186</v>
      </c>
      <c r="BI308" s="115"/>
      <c r="BJ308" s="115"/>
      <c r="BK308" s="115"/>
      <c r="BL308" s="115"/>
      <c r="BM308" s="115"/>
      <c r="BN308" s="115"/>
      <c r="BO308" s="115"/>
      <c r="BP308" s="115"/>
      <c r="BQ308" s="115"/>
      <c r="BR308" s="115"/>
      <c r="BS308" s="115"/>
      <c r="BT308" s="115"/>
      <c r="BU308" s="115"/>
      <c r="BV308" s="115"/>
      <c r="BW308" s="115"/>
      <c r="BX308" s="115"/>
      <c r="BY308" s="115"/>
      <c r="BZ308" s="658"/>
      <c r="CA308" s="658"/>
      <c r="CB308" s="511"/>
      <c r="CC308" s="115"/>
      <c r="CD308" s="117"/>
      <c r="CE308" s="117"/>
      <c r="CF308" s="117"/>
    </row>
    <row r="309" spans="38:84" ht="19.5" customHeight="1">
      <c r="AX309" s="114"/>
      <c r="AY309" s="114"/>
      <c r="AZ309" s="114"/>
      <c r="BA309" s="115"/>
      <c r="BB309" s="115"/>
      <c r="BC309" s="115"/>
      <c r="BD309" s="115"/>
      <c r="BE309" s="115"/>
      <c r="BF309" s="115"/>
      <c r="BG309" s="115"/>
      <c r="BH309" s="547" t="s">
        <v>3187</v>
      </c>
      <c r="BI309" s="115"/>
      <c r="BJ309" s="115"/>
      <c r="BK309" s="115"/>
      <c r="BL309" s="115"/>
      <c r="BM309" s="115"/>
      <c r="BN309" s="115"/>
      <c r="BO309" s="115"/>
      <c r="BP309" s="115"/>
      <c r="BQ309" s="115"/>
      <c r="BR309" s="115"/>
      <c r="BS309" s="115"/>
      <c r="BT309" s="115"/>
      <c r="BU309" s="115"/>
      <c r="BV309" s="115"/>
      <c r="BW309" s="115"/>
      <c r="BX309" s="115"/>
      <c r="BY309" s="115"/>
      <c r="BZ309" s="658"/>
      <c r="CA309" s="658"/>
      <c r="CB309" s="511"/>
      <c r="CC309" s="115"/>
      <c r="CD309" s="117"/>
      <c r="CE309" s="117"/>
      <c r="CF309" s="117"/>
    </row>
    <row r="310" spans="38:84" ht="19.5" customHeight="1">
      <c r="AX310" s="114"/>
      <c r="AY310" s="114"/>
      <c r="AZ310" s="114"/>
      <c r="BA310" s="115"/>
      <c r="BB310" s="115"/>
      <c r="BC310" s="115"/>
      <c r="BD310" s="115"/>
      <c r="BE310" s="115"/>
      <c r="BF310" s="115"/>
      <c r="BG310" s="115"/>
      <c r="BH310" s="547" t="s">
        <v>3188</v>
      </c>
      <c r="BI310" s="115"/>
      <c r="BJ310" s="115"/>
      <c r="BK310" s="115"/>
      <c r="BL310" s="115"/>
      <c r="BM310" s="115"/>
      <c r="BN310" s="115"/>
      <c r="BO310" s="115"/>
      <c r="BP310" s="115"/>
      <c r="BQ310" s="115"/>
      <c r="BR310" s="115"/>
      <c r="BS310" s="115"/>
      <c r="BT310" s="115"/>
      <c r="BU310" s="115"/>
      <c r="BV310" s="115"/>
      <c r="BW310" s="115"/>
      <c r="BX310" s="115"/>
      <c r="BY310" s="115"/>
      <c r="BZ310" s="658"/>
      <c r="CA310" s="658"/>
      <c r="CB310" s="511"/>
      <c r="CC310" s="115"/>
      <c r="CD310" s="117"/>
      <c r="CE310" s="117"/>
      <c r="CF310" s="117"/>
    </row>
    <row r="311" spans="38:84" ht="19.5" customHeight="1">
      <c r="AX311" s="114"/>
      <c r="AY311" s="114"/>
      <c r="AZ311" s="114"/>
      <c r="BA311" s="115"/>
      <c r="BB311" s="115"/>
      <c r="BC311" s="115"/>
      <c r="BD311" s="115"/>
      <c r="BE311" s="115"/>
      <c r="BF311" s="115"/>
      <c r="BG311" s="115"/>
      <c r="BH311" s="547" t="s">
        <v>3189</v>
      </c>
      <c r="BI311" s="115"/>
      <c r="BJ311" s="115"/>
      <c r="BK311" s="115"/>
      <c r="BL311" s="115"/>
      <c r="BM311" s="115"/>
      <c r="BN311" s="115"/>
      <c r="BO311" s="115"/>
      <c r="BP311" s="115"/>
      <c r="BQ311" s="115"/>
      <c r="BR311" s="115"/>
      <c r="BS311" s="115"/>
      <c r="BT311" s="115"/>
      <c r="BU311" s="115"/>
      <c r="BV311" s="115"/>
      <c r="BW311" s="115"/>
      <c r="BX311" s="115"/>
      <c r="BY311" s="115"/>
      <c r="BZ311" s="658"/>
      <c r="CA311" s="658"/>
      <c r="CB311" s="511"/>
      <c r="CC311" s="115"/>
      <c r="CD311" s="117"/>
      <c r="CE311" s="117"/>
      <c r="CF311" s="117"/>
    </row>
    <row r="312" spans="38:84" ht="19.5" customHeight="1">
      <c r="AX312" s="114"/>
      <c r="AY312" s="114"/>
      <c r="AZ312" s="114"/>
      <c r="BA312" s="115"/>
      <c r="BB312" s="115"/>
      <c r="BC312" s="115"/>
      <c r="BD312" s="115"/>
      <c r="BE312" s="115"/>
      <c r="BF312" s="115"/>
      <c r="BG312" s="115"/>
      <c r="BH312" s="549" t="s">
        <v>3190</v>
      </c>
      <c r="BI312" s="115"/>
      <c r="BJ312" s="115"/>
      <c r="BK312" s="115"/>
      <c r="BL312" s="115"/>
      <c r="BM312" s="115"/>
      <c r="BN312" s="115"/>
      <c r="BO312" s="115"/>
      <c r="BP312" s="115"/>
      <c r="BQ312" s="115"/>
      <c r="BR312" s="115"/>
      <c r="BS312" s="115"/>
      <c r="BT312" s="115"/>
      <c r="BU312" s="115"/>
      <c r="BV312" s="115"/>
      <c r="BW312" s="115"/>
      <c r="BX312" s="115"/>
      <c r="BY312" s="115"/>
      <c r="BZ312" s="658"/>
      <c r="CA312" s="658"/>
      <c r="CB312" s="511"/>
      <c r="CC312" s="115"/>
      <c r="CD312" s="117"/>
      <c r="CE312" s="117"/>
      <c r="CF312" s="117"/>
    </row>
  </sheetData>
  <sheetProtection algorithmName="SHA-512" hashValue="Hu0INi3M5A1FEUlAZkMOWcu5EapjAFb7tF94onnBFVwcyu1zsDL52IWgUvCh603xWqkP6gd1S5YXjzbQ4jwIJQ==" saltValue="XwgX/k2/eo/PzDbwWhrtoQ==" spinCount="100000" sheet="1" objects="1" scenarios="1" selectLockedCells="1" selectUnlockedCells="1"/>
  <protectedRanges>
    <protectedRange sqref="BK22 BG18:BJ22 BG89:BJ101" name="範囲1_4"/>
    <protectedRange sqref="Q93:Z93 AB93:AD93 L106:N106 C93:N93 AF93:AJ93 Q122:Z123 C122:N123 AF106:AJ108 AB106:AD108 Y108:Z110 AF110:AJ110 AH109:AJ109 AB110:AD110 AD109:AF109 AA109:AB109 Z107 AF122:AJ123 AB122:AD123 C11:L12" name="範囲1"/>
    <protectedRange sqref="AE95 AB95:AC95 AF96:AF97 AM98 AQ98:AS98 AA95:AA97 AG95:AI97 AB96:AD100 L98 R98:T98 N98:O98 L105:O105 AQ94:AS95 X98:Y98 AF100:AI100 AH98:AI98 AF99:AJ99 AM94:AM95 Q99:T101 Q105:T105 L99:O101" name="範囲1_8_2"/>
    <protectedRange sqref="L29:L33" name="範囲14_1"/>
    <protectedRange sqref="C101:C103 C24:I24 C94 C96:C99 D94:I103 C28:I33 C81:I81 C104:I106 C35:I38" name="範囲1_6_1"/>
    <protectedRange sqref="T95 J24:N24 AB20:AD24 AK98:AL98 AK99:AO100 AQ99:AS100 AF20:AJ24 V105:Z105 V98:W98 L94:Q94 M95:R95 AK95:AL95 AA94:AC94 AQ96:AS97 L96:P97 AK96:AO97 V99:Z101 J94:K101 Q20:Z24 J102:N104 Q102:Z104 AB101:AD105 J28:N28 Q28:Z28 J35:N38 Q39:Z39 J29:K33 AB28:AD28 AF28:AJ28 J81:N81 L39:N39 Q81:Z81 AB81:AD81 AF81:AJ81 AB39:AD39 AF39:AJ39 AF101:AJ105 J105:K106 V106:X106 Q106:S106 L20:N23" name="範囲1_9"/>
    <protectedRange sqref="C91:I92" name="範囲1_2_2_2"/>
    <protectedRange sqref="D124:I124" name="範囲1_8_4"/>
    <protectedRange sqref="L124:N124 C126:I148 Q124:T124 AF148:AJ148 AB148:AD148 J124:K125 Z131:AB131 AD131:AJ147 M140:N146 J140:K146 Q140:T146 V140:AB147 AA132:AB139 J148:N148 Q148:Z148" name="範囲1_10"/>
    <protectedRange sqref="J145:U146 L20:M24 AM94:AM95 AQ94:AT95 AE95 AB95:AC95 AB96:AF97 AM98 AQ98:AT98 AG95:AJ97 AA95:AA97 AB98:AE98 R98:U98 N98:O98 L98 AA94:AB94 X98:Y98 AH98:AJ98 AB99:AJ100 L105:U105 L28:M28 L35:M39 AA131:AC146 N91:N92 L81:M81 L99:U101 V106:W106 Q106:R106" name="範囲26"/>
    <protectedRange sqref="C107:K110 Q108:X110 Q107:Y107" name="範囲1_5"/>
    <protectedRange sqref="C39:I39" name="範囲1_6_1_1"/>
    <protectedRange sqref="J39:K39" name="範囲1_9_4"/>
    <protectedRange sqref="AB29:AD33 AF29:AJ33 Q29:Z33 AB35:AD38 AF35:AJ38 Q35:Z38" name="範囲1_9_6"/>
    <protectedRange sqref="J43:N43 J44:K49 J52:N55 AB43:AD49 AF43:AJ49 Q43:Z49 AB52:AD55 AF52:AJ55 Q52:Z55" name="範囲1_9_7"/>
    <protectedRange sqref="L43:M43 L52:M55" name="範囲26_2"/>
    <protectedRange sqref="C43:I43" name="範囲1_1_2_1_5_3"/>
    <protectedRange sqref="C45:I49 C52:I54" name="範囲1_2_2_1_5_2"/>
    <protectedRange sqref="C55:I55" name="範囲1_6_1_5_2"/>
    <protectedRange sqref="L44:L49" name="範囲14_1_2"/>
    <protectedRange sqref="O46:O49" name="範囲14_1_3"/>
    <protectedRange sqref="J59:N59 AB59:AD59 AF59:AJ59 Q59:Z59" name="範囲1_9_5"/>
    <protectedRange sqref="L59:M59" name="範囲26_1"/>
    <protectedRange sqref="C59:I59" name="範囲1_1_2_1_6_1"/>
    <protectedRange sqref="BG64:BJ65 BG67:BJ72" name="範囲1_4_1"/>
    <protectedRange sqref="C65:I70" name="範囲1_2_2_1_1"/>
    <protectedRange sqref="Q65:Y65 AB65:AE65 AG65:AH65 AP65:AS65 AJ65 AL65:AN65 Q69:Y70 AB69:AE70 AC67:AE67 AP69:AS70 AL69:AN70 Q66:X67 AG67:AH67 AJ67 AG69:AH70 AJ69:AJ70" name="範囲1_8_2_9"/>
    <protectedRange sqref="L65:L67 O66 L69:L70" name="範囲14_1_1"/>
    <protectedRange sqref="J65:K67 J69:K70" name="範囲1_9_15"/>
    <protectedRange sqref="Q65:Z65 AB65:AE65 AL65:AT65 AG65:AJ65 Q69:Z70 AB69:AE70 AC67:AE67 AL69:AT70 Q66:X67 AG67:AJ67 AG69:AJ70" name="範囲26_9"/>
    <protectedRange sqref="Y67 AB67" name="範囲1_8_2_12"/>
    <protectedRange sqref="Y67:Z67 AB67" name="範囲26_12"/>
    <protectedRange sqref="AP67:AS67 AL67:AN67" name="範囲1_8_2_13"/>
    <protectedRange sqref="AL67:AT67" name="範囲26_13"/>
    <protectedRange sqref="AP45:AS45 AL45 AN45" name="範囲1_8_2_15"/>
    <protectedRange sqref="AP45:AT45 AL45 AN45" name="範囲26_15"/>
    <protectedRange sqref="J132:K139 Q132:T139 V132:Z139 M132:N139" name="範囲1_10_1"/>
    <protectedRange sqref="AA149 AD149:AK149 AB150:AD151 AF150:AJ151 Q149:Z151 C149:N151" name="範囲1_10_2"/>
    <protectedRange sqref="L149 Y149" name="範囲26_19"/>
    <protectedRange sqref="C152:N153 Y152 AF152:AJ153 AB152:AD153 Q152:X153 Z152:Z153" name="範囲1_1_2"/>
    <protectedRange sqref="AF11:AJ12 Q11:Z12 AB11:AD12 M11:N12" name="範囲1_3"/>
    <protectedRange sqref="D13:I14 K13:P14" name="範囲1_8_1_4"/>
    <protectedRange sqref="C15:I15" name="範囲1_1_2_1_1"/>
    <protectedRange sqref="L15:N15 Q15:Z15 AB15:AD15 AF15:AJ15" name="範囲1_9_18"/>
    <protectedRange sqref="L15:M15" name="範囲26_22"/>
    <protectedRange sqref="Q13:AJ14" name="範囲1_9_2_2"/>
    <protectedRange sqref="C19:I19" name="範囲1_2_2_1_2"/>
    <protectedRange sqref="L16:L19 O16:O19" name="範囲14_1_7"/>
    <protectedRange sqref="J18:K19" name="範囲26_23"/>
    <protectedRange sqref="AK19" name="範囲1_8_2_1_2"/>
    <protectedRange sqref="AB16:AD19 AF16:AJ19 Q16:Z19" name="範囲1_9_3_2"/>
    <protectedRange sqref="D26:I26 K26:P26" name="範囲1_8_1_5"/>
    <protectedRange sqref="C25:I25" name="範囲1_6_1_7"/>
    <protectedRange sqref="J25:N25 AB25:AD25 AF25:AJ25 Q25:Z25" name="範囲1_9_19"/>
    <protectedRange sqref="L25:M25" name="範囲26_24"/>
    <protectedRange sqref="Q26:AJ27" name="範囲1_9_1_1"/>
    <protectedRange sqref="L34" name="範囲14_1_9"/>
    <protectedRange sqref="C34:I34" name="範囲1_6_1_8"/>
    <protectedRange sqref="J34:K34" name="範囲1_9_20"/>
    <protectedRange sqref="AB34:AD34 AF34:AJ34 Q34:Z34" name="範囲1_9_6_2"/>
    <protectedRange sqref="Q40:Z40 L40:N40 AB40:AD40 AF40:AJ40" name="範囲1_9_21"/>
    <protectedRange sqref="L40:M40" name="範囲26_25"/>
    <protectedRange sqref="C40:I40" name="範囲1_6_1_1_1"/>
    <protectedRange sqref="J40:K40" name="範囲1_9_4_1"/>
    <protectedRange sqref="K41:P41" name="範囲1_8_1_1_1"/>
    <protectedRange sqref="Q41:AJ42" name="範囲1_9_7_1"/>
    <protectedRange sqref="D41:I41" name="範囲1_8_1_2_1"/>
    <protectedRange sqref="AB50:AD50 AF50:AJ50 Q50:Z50 J50:K50" name="範囲1_9_7_2"/>
    <protectedRange sqref="L50" name="範囲14_1_2_1"/>
    <protectedRange sqref="C50:I51" name="範囲1_2_2_1_1_1"/>
    <protectedRange sqref="L51" name="範囲14_1_2_1_1"/>
    <protectedRange sqref="J51:K51" name="範囲1_9_1_1_1"/>
    <protectedRange sqref="Q51:T51 AA51:AH51 AJ51 V51:X51" name="範囲1_8_2_18"/>
    <protectedRange sqref="Q51:X51 AA51:AJ51" name="範囲26_19_1"/>
    <protectedRange sqref="O51 Y51" name="範囲14_1_2_2"/>
    <protectedRange sqref="D57:I57 K57:P57" name="範囲1_8_1_6"/>
    <protectedRange sqref="C56:I56" name="範囲1_6_1_9"/>
    <protectedRange sqref="J56:N56 AB56:AD56 AF56:AJ56 Q56:Z56" name="範囲1_9_22"/>
    <protectedRange sqref="L56:M56" name="範囲26_26"/>
    <protectedRange sqref="Q57:AJ58" name="範囲1_9_1_2"/>
    <protectedRange sqref="J71:K71 AB71:AD71 AF71:AJ71 Q71:Z71" name="範囲1_9_5_1"/>
    <protectedRange sqref="L71" name="範囲14_1_1_1"/>
    <protectedRange sqref="V72:X72 Q72:S72" name="範囲1_9_17_1"/>
    <protectedRange sqref="Q72:R72" name="範囲26_16_1"/>
    <protectedRange sqref="C71:I72" name="範囲1_2_2_1_1_2"/>
    <protectedRange sqref="J72:N72" name="範囲1_9_17_2"/>
    <protectedRange sqref="L72:M72" name="範囲26_16_2"/>
    <protectedRange sqref="Y72:Z72 AB72:AD72 AF72:AJ72" name="範囲1_9_17_3"/>
    <protectedRange sqref="C73:I74" name="範囲1_2_2_1_6_1_1"/>
    <protectedRange sqref="V73:Z74 Q73:S74 AB73:AD74 J73:N74 AF73:AJ74" name="範囲1_9_17_1_1"/>
    <protectedRange sqref="Q73:R74 L73:M74" name="範囲26_16_1_1"/>
    <protectedRange sqref="C77:I77" name="範囲1_2_2_1_6_1_2"/>
    <protectedRange sqref="AJ75 AG75:AH75 AB75:AE75 Q75:Y75" name="範囲1_8_2_17_1"/>
    <protectedRange sqref="L75 O75" name="範囲14_1_4_2"/>
    <protectedRange sqref="C75:I76" name="範囲1_6_1_6_1"/>
    <protectedRange sqref="J76:N76 J75:K75 V76:Z76 Q76:S76 AB76:AD76 AF76:AJ76" name="範囲1_9_16_2"/>
    <protectedRange sqref="L76:M76 Q76:R76 AG75:AJ75 AB75:AE75 Q75:Z75" name="範囲26_18_1"/>
    <protectedRange sqref="J77:N77 V77:Z77 Q77:S77 AB77:AD77 AF77:AJ77" name="範囲1_9_18_1"/>
    <protectedRange sqref="L77:M77 Q77:R77" name="範囲26_20_1"/>
    <protectedRange sqref="AA124:AB124 AD124" name="範囲1_10_4"/>
    <protectedRange sqref="V124:Z124" name="範囲1_10_2_2"/>
    <protectedRange sqref="AE124:AJ124" name="範囲1_10_3_1"/>
    <protectedRange sqref="V126:AB130 AD126:AJ130 M126:N131 J126:K131 Q126:T131 V131:Y131" name="範囲1_10_5"/>
    <protectedRange sqref="AA126:AC130" name="範囲26_27"/>
    <protectedRange sqref="AP66:AS66 AL66:AN66" name="範囲1_8_2_9_1"/>
    <protectedRange sqref="AL66:AT66" name="範囲26_9_1"/>
    <protectedRange sqref="AJ66 AG66:AH66 AB66:AE66 Y66" name="範囲1_8_2_14_1"/>
    <protectedRange sqref="AG66:AJ66 AB66:AE66 Y66:Z66" name="範囲26_14_1"/>
    <protectedRange sqref="AR68:AS68" name="範囲1_8_2_18_1"/>
    <protectedRange sqref="AR68:AT68" name="範囲26_16"/>
    <protectedRange sqref="C83:I83" name="範囲1_6_1_5"/>
    <protectedRange sqref="J82:N82 AB82:AD82 AF82:AJ82 Q82:Z82" name="範囲1_9_1"/>
    <protectedRange sqref="L82:M82" name="範囲26_14"/>
    <protectedRange sqref="D154:J154" name="範囲1_1_3"/>
    <protectedRange sqref="C156:J158 Q161:R161 K155:N159 Q155:AK155 Q156:R158 AC156:AJ156 AE161:AJ161 AC157:AK158 C161:O161 Q159:AF159 AI159:AT159 C160:R160 C159:F159" name="範囲1_1_1_1"/>
    <protectedRange sqref="C155:I155 C154" name="範囲1_6_1_2_1"/>
    <protectedRange sqref="J155 AF154:AJ154 AB154:AD154 V154:Z154 K154 AB156:AB158 V156:Z158 AT156 AN156:AR156 AT161 AN161:AR161 AD161 X161:AB161 V160:Z160 AB160" name="範囲1_9_3_1_1"/>
    <protectedRange sqref="AB83:AD83 AF83:AJ83 J83:P83 R83:V83 Y83:Z83" name="範囲1_9_2"/>
    <protectedRange sqref="L83:M83" name="範囲26_18"/>
    <protectedRange sqref="AB60:AD60 AF60:AJ60 Q60:Z60 J60:K60 P62 R62:U62 W62:X62" name="範囲1_9_5_2"/>
    <protectedRange sqref="D60:I63 C60:C62" name="範囲1_2_2_1_6_1_3"/>
    <protectedRange sqref="AA62:AH62 AJ62:AN62 AP62:AS62 Y62" name="範囲1_8_2_1_1_1"/>
    <protectedRange sqref="Y62:AT62" name="範囲26_1_1_1"/>
    <protectedRange sqref="L60" name="範囲14_1_8_1"/>
    <protectedRange sqref="C63 D64:I64" name="範囲1_2_2_1_1_3"/>
    <protectedRange sqref="AG63:AH63 AJ63 Q63:X63 AC63:AE63" name="範囲1_8_2_9_2"/>
    <protectedRange sqref="L63" name="範囲14_1_1_2"/>
    <protectedRange sqref="J63:K63" name="範囲1_9_15_1"/>
    <protectedRange sqref="AG63:AJ63 Q63:X63 AC63:AE63" name="範囲26_9_2"/>
    <protectedRange sqref="Y63 AB63" name="範囲1_8_2_10_1"/>
    <protectedRange sqref="Y63:Z63 AB63" name="範囲26_10_1"/>
    <protectedRange sqref="AP63:AS63 AL63:AN63" name="範囲1_8_2_11_1"/>
    <protectedRange sqref="AL63:AT63" name="範囲26_11_1"/>
    <protectedRange sqref="AL60:AQ60 AS60" name="範囲1_8_2_16_1"/>
    <protectedRange sqref="AS60:AT60 AL60:AQ60" name="範囲26_17_1"/>
    <protectedRange sqref="J62 L62" name="範囲14_1_7_1"/>
    <protectedRange sqref="K62" name="範囲1_9_20_1"/>
    <protectedRange sqref="V61 Q61 S61:T61 X61:Y61 AB61:AH61 AJ61:AN61" name="範囲1_8_2_1"/>
    <protectedRange sqref="J61 L61 O61" name="範囲14_1_4"/>
    <protectedRange sqref="K61" name="範囲1_9_3"/>
    <protectedRange sqref="Q61 S61:V61 X61:Z61 AB61:AO61" name="範囲26_3"/>
    <protectedRange sqref="C16:I18" name="範囲1_2_2_1_2_2"/>
    <protectedRange sqref="C20:I23" name="範囲1_6_1_2"/>
    <protectedRange sqref="J20:K23" name="範囲1_9_16"/>
    <protectedRange sqref="L87:N87" name="範囲1_8_2_2"/>
    <protectedRange sqref="C85:I87" name="範囲1_6_1_6"/>
    <protectedRange sqref="R87:V87 AF87 AB84:AD84 AB87:AD87 J84:N84 Y87:Z87 J87:K87 R84:Z84 AG84:AJ84 O87:P87" name="範囲1_9_17"/>
    <protectedRange sqref="L84:M84 L87:N87" name="範囲26_10"/>
    <protectedRange sqref="V113:Y113" name="範囲1_8_2_3"/>
    <protectedRange sqref="C112:I113" name="範囲1_6_1_10"/>
    <protectedRange sqref="Q112:S112 J113:K113 J112:N112 AG112:AJ112 AB112:AD113 AF112:AF113 V112:X112" name="範囲1_9_23"/>
    <protectedRange sqref="Q112:R112 L112:M112 V113:Z113 V112:W112" name="範囲26_11"/>
    <protectedRange sqref="M147:N147 J147:K147 Q147:T147" name="範囲1_10_3"/>
    <protectedRange sqref="C162:N162 Q162:Z162 AF162:AJ162 AB162:AD162" name="範囲1_1"/>
    <protectedRange sqref="Q164:Z167 AB164:AD167 AF164:AJ167 C164:N167 C163:J163" name="範囲1_1_1_2"/>
    <protectedRange sqref="AB168:AD179 AF168:AJ179 Q168:Z179 C168:N179" name="範囲1_2"/>
    <protectedRange sqref="AB78:AD78 AF78:AJ78 Q78:Z78 J78:K78 AB80:AD80 AF80:AJ80 Q80:Z80 J80:K80" name="範囲1_9_5_5"/>
    <protectedRange sqref="L78 O78 L80 O80" name="範囲14_1_4_3"/>
    <protectedRange sqref="C80:I80" name="範囲1_6_1_2_1_2"/>
    <protectedRange sqref="C78:I79" name="範囲1_6_1_7_1"/>
    <protectedRange sqref="AL78:AN78 AP78:AS78" name="範囲1_8_2_2_1"/>
    <protectedRange sqref="AL78:AT78" name="範囲26_5"/>
    <protectedRange sqref="AI79:AJ79" name="範囲1_9_9_1"/>
    <protectedRange sqref="V79:Z79 Q79:S79 AB79:AD79 AF79:AH79 J79:N79" name="範囲1_9_9_2"/>
    <protectedRange sqref="Q79:R79 L79:M79" name="範囲26_11_3"/>
    <protectedRange sqref="AK17" name="範囲1_8_2_1_1"/>
    <protectedRange sqref="AK30" name="範囲1_9_6_1"/>
    <protectedRange sqref="C90:I90" name="範囲1_2_2_2_2"/>
    <protectedRange sqref="D88:K88 N88" name="範囲1_8_3"/>
    <protectedRange sqref="N90" name="範囲26_4"/>
    <protectedRange sqref="D89:I89" name="範囲1_8_3_1_1"/>
    <protectedRange sqref="N89" name="範囲26_11_2"/>
    <protectedRange sqref="AF120:AJ120 AB120:AD120 C120:I120" name="範囲1_6"/>
    <protectedRange sqref="V119:Y120" name="範囲1_8_2_4"/>
    <protectedRange sqref="C114:I118" name="範囲1_6_1_3"/>
    <protectedRange sqref="V119:Z120" name="範囲26_17"/>
    <protectedRange sqref="C119:I119" name="範囲1_6_1_4_2"/>
    <protectedRange sqref="J116:N120" name="範囲1_9_8_2"/>
    <protectedRange sqref="AA116:AD116 V116:Y116 Q116:T116 AF116:AI116" name="範囲1_8_2_6_2"/>
    <protectedRange sqref="AK116:AO116 AQ116:AS116" name="範囲1_9_12"/>
    <protectedRange sqref="Q116:AJ116" name="範囲26_6_2"/>
    <protectedRange sqref="AF117:AI117 AA117:AD117 V117:Y117 Q117:T117" name="範囲1_8_2_7_2"/>
    <protectedRange sqref="AQ117:AS117 AK117:AO117 O117:P117" name="範囲1_9_13"/>
    <protectedRange sqref="Q117:AJ117" name="範囲26_7_2"/>
    <protectedRange sqref="AF118:AI119 AA118:AD119 V118:Y118 Q118:T120" name="範囲1_8_2_8_3"/>
    <protectedRange sqref="AQ118:AS119 AK118:AO119" name="範囲1_9_14_2"/>
    <protectedRange sqref="AA118:AJ119 V118:Z118 Q118:U120" name="範囲26_8_3"/>
    <protectedRange sqref="G159:I159" name="範囲1_1_1"/>
    <protectedRange sqref="C44:I44" name="範囲1_2_2_1_5_2_1"/>
    <protectedRange sqref="Q121:Z121 C121:N121 AF121:AJ121 AC121:AD121" name="範囲1_7"/>
  </protectedRanges>
  <mergeCells count="806">
    <mergeCell ref="G159:J159"/>
    <mergeCell ref="C80:I80"/>
    <mergeCell ref="L80:N80"/>
    <mergeCell ref="O80:P80"/>
    <mergeCell ref="AP80:AR80"/>
    <mergeCell ref="AS80:AT80"/>
    <mergeCell ref="AG80:AJ80"/>
    <mergeCell ref="C190:M191"/>
    <mergeCell ref="N190:Q191"/>
    <mergeCell ref="R190:U191"/>
    <mergeCell ref="V190:AT191"/>
    <mergeCell ref="J82:N82"/>
    <mergeCell ref="Q82:S82"/>
    <mergeCell ref="V82:X82"/>
    <mergeCell ref="Y82:AT82"/>
    <mergeCell ref="J83:N83"/>
    <mergeCell ref="Q83:S83"/>
    <mergeCell ref="V83:X83"/>
    <mergeCell ref="Y83:AT83"/>
    <mergeCell ref="AC80:AF80"/>
    <mergeCell ref="AI85:AJ85"/>
    <mergeCell ref="AK85:AL85"/>
    <mergeCell ref="AM85:AN85"/>
    <mergeCell ref="AO85:AP85"/>
    <mergeCell ref="AQ85:AR85"/>
    <mergeCell ref="C195:AT196"/>
    <mergeCell ref="C182:M183"/>
    <mergeCell ref="N182:Q183"/>
    <mergeCell ref="R182:U183"/>
    <mergeCell ref="V182:AT189"/>
    <mergeCell ref="C184:M187"/>
    <mergeCell ref="N184:Q187"/>
    <mergeCell ref="R184:U187"/>
    <mergeCell ref="C188:M189"/>
    <mergeCell ref="N188:Q189"/>
    <mergeCell ref="R188:U189"/>
    <mergeCell ref="AG86:AH86"/>
    <mergeCell ref="AI86:AJ86"/>
    <mergeCell ref="AK86:AL86"/>
    <mergeCell ref="AM86:AN86"/>
    <mergeCell ref="AD96:AF96"/>
    <mergeCell ref="AG96:AT97"/>
    <mergeCell ref="AG98:AT98"/>
    <mergeCell ref="H99:K99"/>
    <mergeCell ref="L99:N99"/>
    <mergeCell ref="O99:P99"/>
    <mergeCell ref="Q99:X99"/>
    <mergeCell ref="Y99:AF99"/>
    <mergeCell ref="AP33:AR33"/>
    <mergeCell ref="AS33:AT33"/>
    <mergeCell ref="C174:J175"/>
    <mergeCell ref="K174:AT174"/>
    <mergeCell ref="K175:AT175"/>
    <mergeCell ref="AE124:AJ125"/>
    <mergeCell ref="AK124:AT125"/>
    <mergeCell ref="V126:Y126"/>
    <mergeCell ref="AE126:AJ126"/>
    <mergeCell ref="AK126:AT126"/>
    <mergeCell ref="V127:Y127"/>
    <mergeCell ref="AE127:AJ127"/>
    <mergeCell ref="AK127:AT127"/>
    <mergeCell ref="V128:Y128"/>
    <mergeCell ref="AE128:AJ128"/>
    <mergeCell ref="AK128:AT128"/>
    <mergeCell ref="Q80:T80"/>
    <mergeCell ref="U80:X80"/>
    <mergeCell ref="Y80:AB80"/>
    <mergeCell ref="C71:I72"/>
    <mergeCell ref="Y72:AB72"/>
    <mergeCell ref="AD72:AF72"/>
    <mergeCell ref="AI72:AM72"/>
    <mergeCell ref="AP72:AQ72"/>
    <mergeCell ref="P77:S77"/>
    <mergeCell ref="AS75:AT75"/>
    <mergeCell ref="J72:N72"/>
    <mergeCell ref="O72:X72"/>
    <mergeCell ref="L71:N71"/>
    <mergeCell ref="O71:P71"/>
    <mergeCell ref="Q71:T71"/>
    <mergeCell ref="U71:X71"/>
    <mergeCell ref="Y71:AB71"/>
    <mergeCell ref="AC71:AF71"/>
    <mergeCell ref="AG71:AJ71"/>
    <mergeCell ref="U77:X77"/>
    <mergeCell ref="L75:N75"/>
    <mergeCell ref="O75:P75"/>
    <mergeCell ref="J76:N76"/>
    <mergeCell ref="O76:X76"/>
    <mergeCell ref="Y76:Z76"/>
    <mergeCell ref="AA76:AL76"/>
    <mergeCell ref="Q75:T75"/>
    <mergeCell ref="U75:X75"/>
    <mergeCell ref="Y75:AB75"/>
    <mergeCell ref="AC75:AF75"/>
    <mergeCell ref="AG75:AJ75"/>
    <mergeCell ref="O50:P50"/>
    <mergeCell ref="J51:N51"/>
    <mergeCell ref="O51:P51"/>
    <mergeCell ref="Q51:X51"/>
    <mergeCell ref="Y51:Z51"/>
    <mergeCell ref="AA51:AJ51"/>
    <mergeCell ref="Q50:T50"/>
    <mergeCell ref="U50:X50"/>
    <mergeCell ref="Y50:AB50"/>
    <mergeCell ref="AC50:AF50"/>
    <mergeCell ref="AG50:AJ50"/>
    <mergeCell ref="C26:I27"/>
    <mergeCell ref="J26:K27"/>
    <mergeCell ref="L26:N27"/>
    <mergeCell ref="O26:P27"/>
    <mergeCell ref="Q26:T27"/>
    <mergeCell ref="U26:X27"/>
    <mergeCell ref="Y26:AB27"/>
    <mergeCell ref="AC26:AF27"/>
    <mergeCell ref="C34:I34"/>
    <mergeCell ref="L34:N34"/>
    <mergeCell ref="O34:P34"/>
    <mergeCell ref="J29:K29"/>
    <mergeCell ref="L29:N29"/>
    <mergeCell ref="O29:P29"/>
    <mergeCell ref="Q29:T29"/>
    <mergeCell ref="U29:X29"/>
    <mergeCell ref="Y29:AB29"/>
    <mergeCell ref="AC29:AF29"/>
    <mergeCell ref="C32:I32"/>
    <mergeCell ref="L32:N32"/>
    <mergeCell ref="O32:P32"/>
    <mergeCell ref="Q32:T32"/>
    <mergeCell ref="U32:X32"/>
    <mergeCell ref="Y32:AB32"/>
    <mergeCell ref="C3:H3"/>
    <mergeCell ref="I3:K3"/>
    <mergeCell ref="L3:Q3"/>
    <mergeCell ref="R3:S3"/>
    <mergeCell ref="T3:V3"/>
    <mergeCell ref="W3:Y3"/>
    <mergeCell ref="AP4:AT4"/>
    <mergeCell ref="AP8:AR8"/>
    <mergeCell ref="C4:H4"/>
    <mergeCell ref="I4:K4"/>
    <mergeCell ref="L4:AB4"/>
    <mergeCell ref="AC4:AF4"/>
    <mergeCell ref="AG4:AK4"/>
    <mergeCell ref="AL4:AO4"/>
    <mergeCell ref="AH5:AI5"/>
    <mergeCell ref="AL5:AO5"/>
    <mergeCell ref="AP5:AT5"/>
    <mergeCell ref="C5:H5"/>
    <mergeCell ref="J5:K5"/>
    <mergeCell ref="M5:N5"/>
    <mergeCell ref="P5:Q5"/>
    <mergeCell ref="S5:T5"/>
    <mergeCell ref="V5:W5"/>
    <mergeCell ref="O17:P17"/>
    <mergeCell ref="P8:R8"/>
    <mergeCell ref="T8:V8"/>
    <mergeCell ref="L16:N16"/>
    <mergeCell ref="Z3:AB3"/>
    <mergeCell ref="AC3:AE3"/>
    <mergeCell ref="AF3:AH3"/>
    <mergeCell ref="AI3:AK3"/>
    <mergeCell ref="AL3:AO3"/>
    <mergeCell ref="Y5:Z5"/>
    <mergeCell ref="AB5:AC5"/>
    <mergeCell ref="AE5:AF5"/>
    <mergeCell ref="Y8:AE8"/>
    <mergeCell ref="AF8:AG8"/>
    <mergeCell ref="AH8:AJ8"/>
    <mergeCell ref="AL8:AN8"/>
    <mergeCell ref="AK15:AN15"/>
    <mergeCell ref="AO15:AT15"/>
    <mergeCell ref="AK17:AO17"/>
    <mergeCell ref="AP3:AT3"/>
    <mergeCell ref="AG26:AJ27"/>
    <mergeCell ref="O18:P18"/>
    <mergeCell ref="AP18:AR18"/>
    <mergeCell ref="AG19:AJ19"/>
    <mergeCell ref="C8:I8"/>
    <mergeCell ref="C17:I17"/>
    <mergeCell ref="J8:K8"/>
    <mergeCell ref="L8:N8"/>
    <mergeCell ref="M11:AT12"/>
    <mergeCell ref="L13:N14"/>
    <mergeCell ref="O13:P14"/>
    <mergeCell ref="Q13:T14"/>
    <mergeCell ref="U13:X14"/>
    <mergeCell ref="Y13:AB14"/>
    <mergeCell ref="AC13:AF14"/>
    <mergeCell ref="AG13:AJ14"/>
    <mergeCell ref="AK13:AT14"/>
    <mergeCell ref="Y17:AB17"/>
    <mergeCell ref="AC17:AF17"/>
    <mergeCell ref="Q17:T17"/>
    <mergeCell ref="U17:X17"/>
    <mergeCell ref="C13:I14"/>
    <mergeCell ref="J13:K14"/>
    <mergeCell ref="L17:N17"/>
    <mergeCell ref="C30:I30"/>
    <mergeCell ref="J30:K30"/>
    <mergeCell ref="BM27:BM28"/>
    <mergeCell ref="C28:I28"/>
    <mergeCell ref="L23:M23"/>
    <mergeCell ref="N23:T23"/>
    <mergeCell ref="U23:AT23"/>
    <mergeCell ref="C20:K23"/>
    <mergeCell ref="L20:M20"/>
    <mergeCell ref="N20:T20"/>
    <mergeCell ref="U20:AT20"/>
    <mergeCell ref="L21:M21"/>
    <mergeCell ref="N21:T21"/>
    <mergeCell ref="U21:AT21"/>
    <mergeCell ref="L22:M22"/>
    <mergeCell ref="N22:T22"/>
    <mergeCell ref="U22:AT22"/>
    <mergeCell ref="BL18:BL22"/>
    <mergeCell ref="Y19:AB19"/>
    <mergeCell ref="AC19:AF19"/>
    <mergeCell ref="AS18:AT18"/>
    <mergeCell ref="O19:P19"/>
    <mergeCell ref="Q19:T19"/>
    <mergeCell ref="U19:X19"/>
    <mergeCell ref="BM18:BM22"/>
    <mergeCell ref="BL27:BL28"/>
    <mergeCell ref="AK18:AO18"/>
    <mergeCell ref="AK19:AO19"/>
    <mergeCell ref="C15:I15"/>
    <mergeCell ref="C16:I16"/>
    <mergeCell ref="Y16:AB16"/>
    <mergeCell ref="AC16:AF16"/>
    <mergeCell ref="AG16:AJ16"/>
    <mergeCell ref="C18:I18"/>
    <mergeCell ref="L18:N18"/>
    <mergeCell ref="C19:I19"/>
    <mergeCell ref="L19:N19"/>
    <mergeCell ref="Q18:T18"/>
    <mergeCell ref="U18:X18"/>
    <mergeCell ref="O16:P16"/>
    <mergeCell ref="Q16:T16"/>
    <mergeCell ref="U16:X16"/>
    <mergeCell ref="AG17:AJ17"/>
    <mergeCell ref="AQ19:AT19"/>
    <mergeCell ref="AK26:AT27"/>
    <mergeCell ref="Y18:AB18"/>
    <mergeCell ref="AC18:AF18"/>
    <mergeCell ref="AG18:AJ18"/>
    <mergeCell ref="BL29:BL30"/>
    <mergeCell ref="U30:X30"/>
    <mergeCell ref="Y30:AB30"/>
    <mergeCell ref="AC30:AF30"/>
    <mergeCell ref="AG30:AJ30"/>
    <mergeCell ref="AP29:AR29"/>
    <mergeCell ref="AS29:AT29"/>
    <mergeCell ref="AP30:AR30"/>
    <mergeCell ref="AS30:AT30"/>
    <mergeCell ref="AG29:AJ29"/>
    <mergeCell ref="AK29:AM29"/>
    <mergeCell ref="AN29:AO29"/>
    <mergeCell ref="AK30:AM30"/>
    <mergeCell ref="AN30:AO30"/>
    <mergeCell ref="AP31:AR31"/>
    <mergeCell ref="AP32:AR32"/>
    <mergeCell ref="AS32:AT32"/>
    <mergeCell ref="L31:N31"/>
    <mergeCell ref="O31:P31"/>
    <mergeCell ref="Q31:T31"/>
    <mergeCell ref="U31:X31"/>
    <mergeCell ref="Y31:AB31"/>
    <mergeCell ref="AC31:AF31"/>
    <mergeCell ref="AG31:AJ31"/>
    <mergeCell ref="AC32:AF32"/>
    <mergeCell ref="AG32:AJ32"/>
    <mergeCell ref="AK31:AM31"/>
    <mergeCell ref="AN31:AO31"/>
    <mergeCell ref="AS31:AT31"/>
    <mergeCell ref="AK32:AM32"/>
    <mergeCell ref="AN32:AO32"/>
    <mergeCell ref="L30:N30"/>
    <mergeCell ref="O30:P30"/>
    <mergeCell ref="Q30:T30"/>
    <mergeCell ref="BM31:BM32"/>
    <mergeCell ref="BL31:BL32"/>
    <mergeCell ref="BM29:BM30"/>
    <mergeCell ref="C29:I29"/>
    <mergeCell ref="C33:I33"/>
    <mergeCell ref="L33:N33"/>
    <mergeCell ref="O33:P33"/>
    <mergeCell ref="Q33:T33"/>
    <mergeCell ref="U33:X33"/>
    <mergeCell ref="Y33:AB33"/>
    <mergeCell ref="AC33:AF33"/>
    <mergeCell ref="AG33:AJ33"/>
    <mergeCell ref="BL33:BL34"/>
    <mergeCell ref="BM33:BM34"/>
    <mergeCell ref="Q34:T34"/>
    <mergeCell ref="U34:X34"/>
    <mergeCell ref="Y34:AB34"/>
    <mergeCell ref="AC34:AF34"/>
    <mergeCell ref="AG34:AJ34"/>
    <mergeCell ref="AP34:AR34"/>
    <mergeCell ref="AS34:AT34"/>
    <mergeCell ref="C31:I31"/>
    <mergeCell ref="AG45:AJ45"/>
    <mergeCell ref="AM45:AO45"/>
    <mergeCell ref="AP45:AT45"/>
    <mergeCell ref="BM35:BM36"/>
    <mergeCell ref="Q36:T36"/>
    <mergeCell ref="U36:X36"/>
    <mergeCell ref="Y36:AB36"/>
    <mergeCell ref="AC36:AF36"/>
    <mergeCell ref="AG36:AJ36"/>
    <mergeCell ref="Q35:T35"/>
    <mergeCell ref="U35:X35"/>
    <mergeCell ref="Y35:AB35"/>
    <mergeCell ref="AC35:AF35"/>
    <mergeCell ref="AG35:AJ35"/>
    <mergeCell ref="BL35:BL36"/>
    <mergeCell ref="AG37:AJ37"/>
    <mergeCell ref="Q38:T38"/>
    <mergeCell ref="U38:X38"/>
    <mergeCell ref="Y38:AB38"/>
    <mergeCell ref="AC38:AF38"/>
    <mergeCell ref="AG38:AJ38"/>
    <mergeCell ref="Y41:AB42"/>
    <mergeCell ref="AC41:AF42"/>
    <mergeCell ref="AG41:AJ42"/>
    <mergeCell ref="C43:I43"/>
    <mergeCell ref="C44:I44"/>
    <mergeCell ref="L44:N44"/>
    <mergeCell ref="O44:P44"/>
    <mergeCell ref="Q44:T44"/>
    <mergeCell ref="U44:X44"/>
    <mergeCell ref="AK41:AT42"/>
    <mergeCell ref="Q37:T37"/>
    <mergeCell ref="U37:X37"/>
    <mergeCell ref="Y37:AB37"/>
    <mergeCell ref="AC37:AF37"/>
    <mergeCell ref="C41:I42"/>
    <mergeCell ref="J41:K42"/>
    <mergeCell ref="L41:N42"/>
    <mergeCell ref="O41:P42"/>
    <mergeCell ref="Q41:T42"/>
    <mergeCell ref="U41:X42"/>
    <mergeCell ref="AK44:AN44"/>
    <mergeCell ref="AO44:AQ44"/>
    <mergeCell ref="AR44:AT44"/>
    <mergeCell ref="C46:I46"/>
    <mergeCell ref="L46:N46"/>
    <mergeCell ref="O46:P46"/>
    <mergeCell ref="Y44:AB44"/>
    <mergeCell ref="AC44:AF44"/>
    <mergeCell ref="AG44:AJ44"/>
    <mergeCell ref="C45:I45"/>
    <mergeCell ref="L45:N45"/>
    <mergeCell ref="O45:P45"/>
    <mergeCell ref="Q45:T45"/>
    <mergeCell ref="U45:X45"/>
    <mergeCell ref="Y45:AB45"/>
    <mergeCell ref="AC45:AF45"/>
    <mergeCell ref="U52:X52"/>
    <mergeCell ref="BL47:BL49"/>
    <mergeCell ref="BM47:BM49"/>
    <mergeCell ref="C48:E48"/>
    <mergeCell ref="G48:I48"/>
    <mergeCell ref="Y48:AB48"/>
    <mergeCell ref="AC48:AF48"/>
    <mergeCell ref="AG48:AJ48"/>
    <mergeCell ref="C47:E47"/>
    <mergeCell ref="G47:I47"/>
    <mergeCell ref="L47:N49"/>
    <mergeCell ref="O47:P49"/>
    <mergeCell ref="Q47:T49"/>
    <mergeCell ref="U47:X49"/>
    <mergeCell ref="C49:E49"/>
    <mergeCell ref="G49:I49"/>
    <mergeCell ref="Y49:AB49"/>
    <mergeCell ref="AC49:AF49"/>
    <mergeCell ref="AG49:AJ49"/>
    <mergeCell ref="Y47:AB47"/>
    <mergeCell ref="AC47:AF47"/>
    <mergeCell ref="AG47:AJ47"/>
    <mergeCell ref="C50:I51"/>
    <mergeCell ref="L50:N50"/>
    <mergeCell ref="C60:I62"/>
    <mergeCell ref="J62:N62"/>
    <mergeCell ref="P62:S62"/>
    <mergeCell ref="U62:X62"/>
    <mergeCell ref="AK63:AT63"/>
    <mergeCell ref="Y52:AB52"/>
    <mergeCell ref="AC52:AF52"/>
    <mergeCell ref="AG52:AJ52"/>
    <mergeCell ref="AK57:AT58"/>
    <mergeCell ref="C59:I59"/>
    <mergeCell ref="L60:N60"/>
    <mergeCell ref="O60:P60"/>
    <mergeCell ref="Q60:T60"/>
    <mergeCell ref="U60:X60"/>
    <mergeCell ref="C57:I58"/>
    <mergeCell ref="J57:K58"/>
    <mergeCell ref="L57:N58"/>
    <mergeCell ref="O57:P58"/>
    <mergeCell ref="Q57:T58"/>
    <mergeCell ref="U57:X58"/>
    <mergeCell ref="Y57:AB58"/>
    <mergeCell ref="AC57:AF58"/>
    <mergeCell ref="AG57:AJ58"/>
    <mergeCell ref="Q52:T52"/>
    <mergeCell ref="Y60:AB60"/>
    <mergeCell ref="AC60:AF60"/>
    <mergeCell ref="AG60:AJ60"/>
    <mergeCell ref="AS60:AT60"/>
    <mergeCell ref="J61:N61"/>
    <mergeCell ref="O61:P61"/>
    <mergeCell ref="Q61:X61"/>
    <mergeCell ref="Y61:Z61"/>
    <mergeCell ref="AA61:AS61"/>
    <mergeCell ref="C65:I66"/>
    <mergeCell ref="L65:N65"/>
    <mergeCell ref="O65:P65"/>
    <mergeCell ref="Q65:T65"/>
    <mergeCell ref="U65:X65"/>
    <mergeCell ref="Y65:AB65"/>
    <mergeCell ref="AC65:AF65"/>
    <mergeCell ref="C63:I64"/>
    <mergeCell ref="L63:N63"/>
    <mergeCell ref="O63:P63"/>
    <mergeCell ref="Q63:T63"/>
    <mergeCell ref="U63:X63"/>
    <mergeCell ref="Y63:AB63"/>
    <mergeCell ref="AC63:AF63"/>
    <mergeCell ref="J64:N64"/>
    <mergeCell ref="O64:X64"/>
    <mergeCell ref="Y64:Z64"/>
    <mergeCell ref="AA64:AL64"/>
    <mergeCell ref="AG63:AJ63"/>
    <mergeCell ref="AO68:AQ68"/>
    <mergeCell ref="L67:N67"/>
    <mergeCell ref="O67:P67"/>
    <mergeCell ref="Q67:T67"/>
    <mergeCell ref="U67:X67"/>
    <mergeCell ref="Y67:AB67"/>
    <mergeCell ref="AG65:AJ65"/>
    <mergeCell ref="AK65:AM65"/>
    <mergeCell ref="AN65:AT65"/>
    <mergeCell ref="J66:N66"/>
    <mergeCell ref="O66:X66"/>
    <mergeCell ref="Y66:AB66"/>
    <mergeCell ref="AD66:AF66"/>
    <mergeCell ref="AH66:AJ66"/>
    <mergeCell ref="C67:I70"/>
    <mergeCell ref="Y69:AB69"/>
    <mergeCell ref="AC69:AF69"/>
    <mergeCell ref="AG69:AJ69"/>
    <mergeCell ref="AK69:AT69"/>
    <mergeCell ref="L70:N70"/>
    <mergeCell ref="O70:P70"/>
    <mergeCell ref="Q70:T70"/>
    <mergeCell ref="U70:X70"/>
    <mergeCell ref="Y70:AB70"/>
    <mergeCell ref="AC70:AF70"/>
    <mergeCell ref="L69:N69"/>
    <mergeCell ref="O69:P69"/>
    <mergeCell ref="Q69:T69"/>
    <mergeCell ref="U69:X69"/>
    <mergeCell ref="AG70:AJ70"/>
    <mergeCell ref="AK70:AT70"/>
    <mergeCell ref="AC67:AF67"/>
    <mergeCell ref="AG67:AJ67"/>
    <mergeCell ref="AK67:AT67"/>
    <mergeCell ref="J68:N68"/>
    <mergeCell ref="O68:X68"/>
    <mergeCell ref="Y68:Z68"/>
    <mergeCell ref="AA68:AL68"/>
    <mergeCell ref="C78:I79"/>
    <mergeCell ref="AP78:AR78"/>
    <mergeCell ref="AS78:AT78"/>
    <mergeCell ref="L78:N78"/>
    <mergeCell ref="O78:P78"/>
    <mergeCell ref="J79:N79"/>
    <mergeCell ref="O79:V79"/>
    <mergeCell ref="W79:Z79"/>
    <mergeCell ref="AA79:AH79"/>
    <mergeCell ref="AI79:AL79"/>
    <mergeCell ref="AN79:AP79"/>
    <mergeCell ref="AR79:AT79"/>
    <mergeCell ref="Y78:AB78"/>
    <mergeCell ref="AC78:AF78"/>
    <mergeCell ref="AG78:AJ78"/>
    <mergeCell ref="C75:I77"/>
    <mergeCell ref="J77:N77"/>
    <mergeCell ref="C88:M88"/>
    <mergeCell ref="N88:Q88"/>
    <mergeCell ref="R88:AT88"/>
    <mergeCell ref="C84:I87"/>
    <mergeCell ref="J84:N84"/>
    <mergeCell ref="Q84:S84"/>
    <mergeCell ref="V84:AC84"/>
    <mergeCell ref="AF84:AM84"/>
    <mergeCell ref="J85:N86"/>
    <mergeCell ref="O85:P85"/>
    <mergeCell ref="Q85:R85"/>
    <mergeCell ref="S85:T85"/>
    <mergeCell ref="U85:V85"/>
    <mergeCell ref="W85:X85"/>
    <mergeCell ref="Y85:Z85"/>
    <mergeCell ref="AA85:AB85"/>
    <mergeCell ref="AC85:AD85"/>
    <mergeCell ref="AE85:AF85"/>
    <mergeCell ref="AG85:AH85"/>
    <mergeCell ref="C82:I83"/>
    <mergeCell ref="Q78:T78"/>
    <mergeCell ref="U78:X78"/>
    <mergeCell ref="BL94:BL95"/>
    <mergeCell ref="BM94:BM95"/>
    <mergeCell ref="Q95:T95"/>
    <mergeCell ref="U95:X95"/>
    <mergeCell ref="Y95:AB95"/>
    <mergeCell ref="AC95:AF95"/>
    <mergeCell ref="C91:M92"/>
    <mergeCell ref="N91:Q92"/>
    <mergeCell ref="R91:AT92"/>
    <mergeCell ref="C94:I95"/>
    <mergeCell ref="J94:K95"/>
    <mergeCell ref="L94:P95"/>
    <mergeCell ref="Q94:X94"/>
    <mergeCell ref="Y94:AF94"/>
    <mergeCell ref="AG94:AT95"/>
    <mergeCell ref="BL96:BL98"/>
    <mergeCell ref="BM96:BM98"/>
    <mergeCell ref="C97:I97"/>
    <mergeCell ref="J97:K97"/>
    <mergeCell ref="L97:P97"/>
    <mergeCell ref="Q97:T97"/>
    <mergeCell ref="U97:X97"/>
    <mergeCell ref="Y97:AA97"/>
    <mergeCell ref="C96:I96"/>
    <mergeCell ref="J96:K96"/>
    <mergeCell ref="L96:P96"/>
    <mergeCell ref="Q96:T96"/>
    <mergeCell ref="U96:X96"/>
    <mergeCell ref="Y96:AC96"/>
    <mergeCell ref="AC97:AE97"/>
    <mergeCell ref="C98:G100"/>
    <mergeCell ref="H98:K98"/>
    <mergeCell ref="L98:N98"/>
    <mergeCell ref="O98:P98"/>
    <mergeCell ref="Q98:X98"/>
    <mergeCell ref="Y98:AF98"/>
    <mergeCell ref="O100:P100"/>
    <mergeCell ref="Q100:X100"/>
    <mergeCell ref="Y100:AF100"/>
    <mergeCell ref="AG99:AH100"/>
    <mergeCell ref="AI99:AT100"/>
    <mergeCell ref="H100:K100"/>
    <mergeCell ref="L100:N100"/>
    <mergeCell ref="Q109:U109"/>
    <mergeCell ref="V109:Z109"/>
    <mergeCell ref="C102:K104"/>
    <mergeCell ref="L102:AT104"/>
    <mergeCell ref="C106:P106"/>
    <mergeCell ref="Q106:U106"/>
    <mergeCell ref="V106:Z106"/>
    <mergeCell ref="C107:K107"/>
    <mergeCell ref="L107:P107"/>
    <mergeCell ref="Q107:U107"/>
    <mergeCell ref="V107:Z107"/>
    <mergeCell ref="M122:AT123"/>
    <mergeCell ref="C112:I112"/>
    <mergeCell ref="K112:U112"/>
    <mergeCell ref="C113:I113"/>
    <mergeCell ref="V113:Z113"/>
    <mergeCell ref="J114:U114"/>
    <mergeCell ref="V114:Z114"/>
    <mergeCell ref="J115:U115"/>
    <mergeCell ref="V115:Z115"/>
    <mergeCell ref="J116:U116"/>
    <mergeCell ref="V116:Z116"/>
    <mergeCell ref="AA114:AB114"/>
    <mergeCell ref="AA115:AB115"/>
    <mergeCell ref="AA116:AB116"/>
    <mergeCell ref="AA117:AB117"/>
    <mergeCell ref="AA118:AB118"/>
    <mergeCell ref="V112:AB112"/>
    <mergeCell ref="C121:U121"/>
    <mergeCell ref="V121:Z121"/>
    <mergeCell ref="AA121:AB121"/>
    <mergeCell ref="AC121:AT121"/>
    <mergeCell ref="J127:U127"/>
    <mergeCell ref="AA127:AC127"/>
    <mergeCell ref="C124:U125"/>
    <mergeCell ref="V124:Z125"/>
    <mergeCell ref="AA124:AD125"/>
    <mergeCell ref="C126:I147"/>
    <mergeCell ref="J126:U126"/>
    <mergeCell ref="AA126:AC126"/>
    <mergeCell ref="J128:U128"/>
    <mergeCell ref="AA128:AC128"/>
    <mergeCell ref="J129:U129"/>
    <mergeCell ref="AA129:AC129"/>
    <mergeCell ref="J132:U132"/>
    <mergeCell ref="V132:Z132"/>
    <mergeCell ref="AA132:AC132"/>
    <mergeCell ref="J135:U135"/>
    <mergeCell ref="V135:Z135"/>
    <mergeCell ref="AA135:AC135"/>
    <mergeCell ref="J138:U138"/>
    <mergeCell ref="V138:Z138"/>
    <mergeCell ref="AA138:AC138"/>
    <mergeCell ref="J141:U141"/>
    <mergeCell ref="V141:Z141"/>
    <mergeCell ref="AA141:AC141"/>
    <mergeCell ref="AE129:AJ129"/>
    <mergeCell ref="AK129:AT129"/>
    <mergeCell ref="J130:U130"/>
    <mergeCell ref="AA130:AC130"/>
    <mergeCell ref="AE130:AJ130"/>
    <mergeCell ref="AK130:AT130"/>
    <mergeCell ref="J131:U131"/>
    <mergeCell ref="AA131:AC131"/>
    <mergeCell ref="AE131:AJ131"/>
    <mergeCell ref="AK131:AT131"/>
    <mergeCell ref="V129:Y129"/>
    <mergeCell ref="V130:Y130"/>
    <mergeCell ref="V131:Y131"/>
    <mergeCell ref="AE132:AJ132"/>
    <mergeCell ref="AK132:AT132"/>
    <mergeCell ref="J133:U133"/>
    <mergeCell ref="V133:Z133"/>
    <mergeCell ref="AA133:AC133"/>
    <mergeCell ref="AE133:AJ133"/>
    <mergeCell ref="AK133:AT133"/>
    <mergeCell ref="J134:U134"/>
    <mergeCell ref="V134:Z134"/>
    <mergeCell ref="AA134:AC134"/>
    <mergeCell ref="AE134:AJ134"/>
    <mergeCell ref="AK134:AT134"/>
    <mergeCell ref="AE135:AJ135"/>
    <mergeCell ref="AK135:AT135"/>
    <mergeCell ref="J136:U136"/>
    <mergeCell ref="V136:Z136"/>
    <mergeCell ref="AA136:AC136"/>
    <mergeCell ref="AE136:AJ136"/>
    <mergeCell ref="AK136:AT136"/>
    <mergeCell ref="J137:U137"/>
    <mergeCell ref="V137:Z137"/>
    <mergeCell ref="AA137:AC137"/>
    <mergeCell ref="AE137:AJ137"/>
    <mergeCell ref="AK137:AT137"/>
    <mergeCell ref="AE138:AJ138"/>
    <mergeCell ref="AK138:AT138"/>
    <mergeCell ref="J139:U139"/>
    <mergeCell ref="V139:Z139"/>
    <mergeCell ref="AA139:AC139"/>
    <mergeCell ref="AE139:AJ139"/>
    <mergeCell ref="AK139:AT139"/>
    <mergeCell ref="J140:U140"/>
    <mergeCell ref="V140:Z140"/>
    <mergeCell ref="AA140:AC140"/>
    <mergeCell ref="AE140:AJ140"/>
    <mergeCell ref="AK140:AT140"/>
    <mergeCell ref="AK141:AT141"/>
    <mergeCell ref="J142:U142"/>
    <mergeCell ref="V142:Z142"/>
    <mergeCell ref="AA142:AC142"/>
    <mergeCell ref="AE142:AJ142"/>
    <mergeCell ref="AK142:AT142"/>
    <mergeCell ref="J143:U143"/>
    <mergeCell ref="V143:Z143"/>
    <mergeCell ref="AA143:AC143"/>
    <mergeCell ref="AE143:AJ143"/>
    <mergeCell ref="AK143:AT143"/>
    <mergeCell ref="K154:P154"/>
    <mergeCell ref="AI149:AJ151"/>
    <mergeCell ref="AA144:AC144"/>
    <mergeCell ref="AE144:AJ144"/>
    <mergeCell ref="AK144:AT144"/>
    <mergeCell ref="J145:U145"/>
    <mergeCell ref="V145:Z145"/>
    <mergeCell ref="AA145:AC145"/>
    <mergeCell ref="AE145:AJ145"/>
    <mergeCell ref="AK145:AT145"/>
    <mergeCell ref="V144:Z144"/>
    <mergeCell ref="C154:J158"/>
    <mergeCell ref="C152:H153"/>
    <mergeCell ref="I152:J153"/>
    <mergeCell ref="K152:X153"/>
    <mergeCell ref="Y152:Z153"/>
    <mergeCell ref="AB152:AC152"/>
    <mergeCell ref="AE152:AF152"/>
    <mergeCell ref="AG152:AJ152"/>
    <mergeCell ref="AK152:AT152"/>
    <mergeCell ref="AA153:AT153"/>
    <mergeCell ref="K155:P155"/>
    <mergeCell ref="Q155:AH155"/>
    <mergeCell ref="K156:P156"/>
    <mergeCell ref="AK159:AT159"/>
    <mergeCell ref="AK161:AN161"/>
    <mergeCell ref="AQ161:AT161"/>
    <mergeCell ref="K160:P160"/>
    <mergeCell ref="S160:V160"/>
    <mergeCell ref="Y160:AB160"/>
    <mergeCell ref="U161:X161"/>
    <mergeCell ref="AE161:AH161"/>
    <mergeCell ref="S157:V157"/>
    <mergeCell ref="Y157:AB157"/>
    <mergeCell ref="K158:P158"/>
    <mergeCell ref="S158:U158"/>
    <mergeCell ref="C181:M181"/>
    <mergeCell ref="N181:Q181"/>
    <mergeCell ref="R181:U181"/>
    <mergeCell ref="V181:AT181"/>
    <mergeCell ref="K176:AT176"/>
    <mergeCell ref="AC167:AF167"/>
    <mergeCell ref="C163:J167"/>
    <mergeCell ref="Y163:AB163"/>
    <mergeCell ref="K164:P167"/>
    <mergeCell ref="Q164:X164"/>
    <mergeCell ref="Y164:AB164"/>
    <mergeCell ref="Q165:X165"/>
    <mergeCell ref="Y165:AB165"/>
    <mergeCell ref="Q166:X166"/>
    <mergeCell ref="Y166:AB166"/>
    <mergeCell ref="Q167:X167"/>
    <mergeCell ref="Y167:AB167"/>
    <mergeCell ref="S156:V156"/>
    <mergeCell ref="Y156:AB156"/>
    <mergeCell ref="AC156:AH156"/>
    <mergeCell ref="K161:N161"/>
    <mergeCell ref="O161:R161"/>
    <mergeCell ref="S159:V159"/>
    <mergeCell ref="Y159:AB159"/>
    <mergeCell ref="AC159:AJ159"/>
    <mergeCell ref="AA161:AD161"/>
    <mergeCell ref="AC158:AE158"/>
    <mergeCell ref="K159:P159"/>
    <mergeCell ref="AK156:AN156"/>
    <mergeCell ref="AC163:AF163"/>
    <mergeCell ref="AC164:AF164"/>
    <mergeCell ref="AC165:AF165"/>
    <mergeCell ref="AC166:AF166"/>
    <mergeCell ref="X158:Z158"/>
    <mergeCell ref="AK146:AT146"/>
    <mergeCell ref="J147:U147"/>
    <mergeCell ref="V147:Z147"/>
    <mergeCell ref="AE147:AJ147"/>
    <mergeCell ref="AK147:AT147"/>
    <mergeCell ref="J146:U146"/>
    <mergeCell ref="AK148:AO148"/>
    <mergeCell ref="AP148:AR148"/>
    <mergeCell ref="AK149:AT151"/>
    <mergeCell ref="C149:J151"/>
    <mergeCell ref="K149:L151"/>
    <mergeCell ref="M149:V151"/>
    <mergeCell ref="W149:X151"/>
    <mergeCell ref="Y149:AH151"/>
    <mergeCell ref="AQ156:AT156"/>
    <mergeCell ref="K157:P157"/>
    <mergeCell ref="S154:V154"/>
    <mergeCell ref="Y154:AB154"/>
    <mergeCell ref="AO86:AP86"/>
    <mergeCell ref="AQ86:AR86"/>
    <mergeCell ref="V148:AJ148"/>
    <mergeCell ref="V146:Z146"/>
    <mergeCell ref="AA146:AC146"/>
    <mergeCell ref="AE146:AJ146"/>
    <mergeCell ref="J144:U144"/>
    <mergeCell ref="AA86:AB86"/>
    <mergeCell ref="AC86:AD86"/>
    <mergeCell ref="AE86:AF86"/>
    <mergeCell ref="J117:U117"/>
    <mergeCell ref="V117:Z117"/>
    <mergeCell ref="J118:U118"/>
    <mergeCell ref="V118:Z118"/>
    <mergeCell ref="J119:U119"/>
    <mergeCell ref="V119:Z119"/>
    <mergeCell ref="J87:N87"/>
    <mergeCell ref="Q87:S87"/>
    <mergeCell ref="V87:X87"/>
    <mergeCell ref="O86:P86"/>
    <mergeCell ref="Q86:R86"/>
    <mergeCell ref="S86:T86"/>
    <mergeCell ref="U86:V86"/>
    <mergeCell ref="AE141:AJ141"/>
    <mergeCell ref="AK33:AM33"/>
    <mergeCell ref="AN33:AO33"/>
    <mergeCell ref="AK34:AM34"/>
    <mergeCell ref="AN34:AO34"/>
    <mergeCell ref="C89:I89"/>
    <mergeCell ref="L89:N89"/>
    <mergeCell ref="O89:AT89"/>
    <mergeCell ref="C114:I120"/>
    <mergeCell ref="J120:U120"/>
    <mergeCell ref="V120:Z120"/>
    <mergeCell ref="Y86:Z86"/>
    <mergeCell ref="W86:X86"/>
    <mergeCell ref="AA109:AC109"/>
    <mergeCell ref="AD109:AG109"/>
    <mergeCell ref="C110:K110"/>
    <mergeCell ref="L110:P110"/>
    <mergeCell ref="Q110:U110"/>
    <mergeCell ref="V110:Z110"/>
    <mergeCell ref="C108:K108"/>
    <mergeCell ref="L108:P108"/>
    <mergeCell ref="Q108:U108"/>
    <mergeCell ref="V108:Z108"/>
    <mergeCell ref="C109:K109"/>
    <mergeCell ref="L109:P109"/>
  </mergeCells>
  <phoneticPr fontId="3"/>
  <conditionalFormatting sqref="C60 J60:AT60 AT61 O62:P62 T62:U62 Y62:AT62">
    <cfRule type="expression" dxfId="378" priority="65">
      <formula>VLOOKUP($AV$2,INDIRECT($AV$4),45,FALSE)=0</formula>
    </cfRule>
  </conditionalFormatting>
  <conditionalFormatting sqref="C63 J63:AT63">
    <cfRule type="expression" dxfId="377" priority="60">
      <formula>VLOOKUP($AV$2,INDIRECT($AV$4),46,FALSE)=0</formula>
    </cfRule>
    <cfRule type="expression" dxfId="376" priority="61">
      <formula>$AV$82=2</formula>
    </cfRule>
  </conditionalFormatting>
  <conditionalFormatting sqref="C184">
    <cfRule type="expression" dxfId="375" priority="24">
      <formula>#REF!="ご記入ありがとうございました　本エントリーシートをご提出いただき次第お手続きを進めさせていただきます"</formula>
    </cfRule>
  </conditionalFormatting>
  <conditionalFormatting sqref="C20:K23">
    <cfRule type="expression" dxfId="374" priority="55">
      <formula>VLOOKUP($AV$2,INDIRECT($AV$4),57,FALSE)=0</formula>
    </cfRule>
  </conditionalFormatting>
  <conditionalFormatting sqref="C89:AT89">
    <cfRule type="expression" dxfId="373" priority="9">
      <formula>$AW$88="FALSE"</formula>
    </cfRule>
  </conditionalFormatting>
  <conditionalFormatting sqref="C91:AT92">
    <cfRule type="expression" dxfId="372" priority="178">
      <formula>OR($AV$18=FALSE,$AV$31=FALSE,$AV$89=FALSE)</formula>
    </cfRule>
  </conditionalFormatting>
  <conditionalFormatting sqref="C152:AT153">
    <cfRule type="expression" dxfId="371" priority="136">
      <formula>$AV$150&lt;&gt;3</formula>
    </cfRule>
  </conditionalFormatting>
  <conditionalFormatting sqref="C195:AT196">
    <cfRule type="expression" dxfId="370" priority="25">
      <formula>$C$195="ご記入ありがとうございました。SBPSにて本書を受け取り次第、お手続きを進めさせていただきます。"</formula>
    </cfRule>
  </conditionalFormatting>
  <conditionalFormatting sqref="I3:K3">
    <cfRule type="expression" dxfId="369" priority="182">
      <formula>$I$2&lt;&gt;""</formula>
    </cfRule>
  </conditionalFormatting>
  <conditionalFormatting sqref="I4:K4">
    <cfRule type="expression" dxfId="368" priority="201">
      <formula>$I$4=""</formula>
    </cfRule>
  </conditionalFormatting>
  <conditionalFormatting sqref="J5">
    <cfRule type="expression" dxfId="367" priority="209">
      <formula>$J$5="※"</formula>
    </cfRule>
  </conditionalFormatting>
  <conditionalFormatting sqref="J126:U126">
    <cfRule type="expression" dxfId="366" priority="105">
      <formula>$J$126="選択して下さい"</formula>
    </cfRule>
  </conditionalFormatting>
  <conditionalFormatting sqref="J85:AT86">
    <cfRule type="expression" dxfId="365" priority="46">
      <formula>$AV$84&lt;&gt;2</formula>
    </cfRule>
  </conditionalFormatting>
  <conditionalFormatting sqref="K161:N161">
    <cfRule type="expression" dxfId="364" priority="78">
      <formula>OR($AV$161=0,$AW$161=0)</formula>
    </cfRule>
  </conditionalFormatting>
  <conditionalFormatting sqref="K155:Q155">
    <cfRule type="expression" dxfId="363" priority="87">
      <formula>AND($AV$154=2,$Q$155="")</formula>
    </cfRule>
  </conditionalFormatting>
  <conditionalFormatting sqref="K156:AB156">
    <cfRule type="expression" dxfId="362" priority="86">
      <formula>AND($AV$154=2,$AV$156=0)</formula>
    </cfRule>
  </conditionalFormatting>
  <conditionalFormatting sqref="K157:AB157">
    <cfRule type="expression" dxfId="361" priority="84">
      <formula>AND($AV$154=2,$AV$157=0)</formula>
    </cfRule>
  </conditionalFormatting>
  <conditionalFormatting sqref="K160:AB160">
    <cfRule type="expression" dxfId="360" priority="81">
      <formula>$AV$160=0</formula>
    </cfRule>
  </conditionalFormatting>
  <conditionalFormatting sqref="K158:AE158">
    <cfRule type="expression" dxfId="359" priority="83">
      <formula>$AV$158=0</formula>
    </cfRule>
  </conditionalFormatting>
  <conditionalFormatting sqref="K155:AH155 K156:AT156 K157:AB157 K154:AB154">
    <cfRule type="expression" dxfId="358" priority="89">
      <formula>$AV$154=0</formula>
    </cfRule>
  </conditionalFormatting>
  <conditionalFormatting sqref="K149:AT151">
    <cfRule type="expression" dxfId="357" priority="138">
      <formula>$AV$150=0</formula>
    </cfRule>
  </conditionalFormatting>
  <conditionalFormatting sqref="K155:AT157">
    <cfRule type="expression" dxfId="356" priority="88">
      <formula>$AV$154=1</formula>
    </cfRule>
  </conditionalFormatting>
  <conditionalFormatting sqref="K159:AT159">
    <cfRule type="expression" dxfId="355" priority="77">
      <formula>$AV$159=0</formula>
    </cfRule>
  </conditionalFormatting>
  <conditionalFormatting sqref="K174:AT175">
    <cfRule type="expression" dxfId="354" priority="20">
      <formula>AND($AV$175=FALSE,$AV$174&gt;0)</formula>
    </cfRule>
  </conditionalFormatting>
  <conditionalFormatting sqref="K176:AT176">
    <cfRule type="expression" dxfId="353" priority="21">
      <formula>AND($AV$175=TRUE,$AV$174=0)</formula>
    </cfRule>
  </conditionalFormatting>
  <conditionalFormatting sqref="L8 P8 T8">
    <cfRule type="expression" dxfId="352" priority="184">
      <formula>L8=""</formula>
    </cfRule>
  </conditionalFormatting>
  <conditionalFormatting sqref="L80:P80">
    <cfRule type="expression" dxfId="351" priority="18">
      <formula>$AV$82=2</formula>
    </cfRule>
  </conditionalFormatting>
  <conditionalFormatting sqref="L107:P107">
    <cfRule type="expression" dxfId="350" priority="160">
      <formula>AND(OR(LEFT($O$18,2)="早期",LEFT($O$29,2)="早期",LEFT($O$30,2)="早期"),$AV$109=FALSE)</formula>
    </cfRule>
  </conditionalFormatting>
  <conditionalFormatting sqref="L4:AB4">
    <cfRule type="expression" dxfId="349" priority="211">
      <formula>$L$4="未登録"</formula>
    </cfRule>
  </conditionalFormatting>
  <conditionalFormatting sqref="L25:AB25">
    <cfRule type="expression" dxfId="348" priority="127">
      <formula>$AV$25="NG"</formula>
    </cfRule>
  </conditionalFormatting>
  <conditionalFormatting sqref="M5">
    <cfRule type="expression" dxfId="347" priority="208">
      <formula>$M$5="※"</formula>
    </cfRule>
  </conditionalFormatting>
  <conditionalFormatting sqref="N182">
    <cfRule type="expression" dxfId="346" priority="23">
      <formula>#REF!="ご記入ありがとうございました　本エントリーシートをご提出いただき次第お手続きを進めさせていただきます"</formula>
    </cfRule>
  </conditionalFormatting>
  <conditionalFormatting sqref="N184">
    <cfRule type="expression" dxfId="345" priority="22">
      <formula>#REF!="ご記入ありがとうございました　本エントリーシートをご提出いただき次第お手続きを進めさせていただきます"</formula>
    </cfRule>
  </conditionalFormatting>
  <conditionalFormatting sqref="N93:AT93">
    <cfRule type="expression" dxfId="344" priority="161">
      <formula>$O$93&lt;&gt;""</formula>
    </cfRule>
  </conditionalFormatting>
  <conditionalFormatting sqref="O62:P62 T62:U62">
    <cfRule type="expression" dxfId="343" priority="68">
      <formula>AND($AV$60=TRUE,$AV$63=0)</formula>
    </cfRule>
  </conditionalFormatting>
  <conditionalFormatting sqref="O61:X61">
    <cfRule type="expression" dxfId="342" priority="57">
      <formula>AND($AV$40=TRUE,OR($AV$41="",$AV$41="0000"))</formula>
    </cfRule>
  </conditionalFormatting>
  <conditionalFormatting sqref="O66:X66">
    <cfRule type="expression" dxfId="341" priority="151">
      <formula>AND($AV$65=TRUE,OR($AV$66="00",$AV$66=""))</formula>
    </cfRule>
  </conditionalFormatting>
  <conditionalFormatting sqref="O68:X68">
    <cfRule type="expression" dxfId="340" priority="96">
      <formula>AND($AV$48=TRUE,OR($AV$49="",$AV$49="0000"))</formula>
    </cfRule>
  </conditionalFormatting>
  <conditionalFormatting sqref="O72:X72">
    <cfRule type="expression" dxfId="339" priority="119">
      <formula>AND($AV$71=TRUE,OR($AV$72="",$AV$72="00000"))</formula>
    </cfRule>
  </conditionalFormatting>
  <conditionalFormatting sqref="O77:X77">
    <cfRule type="expression" dxfId="338" priority="111">
      <formula>AND($AV$56=TRUE,$AY$58=0)</formula>
    </cfRule>
  </conditionalFormatting>
  <conditionalFormatting sqref="O87:X87">
    <cfRule type="expression" dxfId="337" priority="53">
      <formula>$AV$87=0</formula>
    </cfRule>
  </conditionalFormatting>
  <conditionalFormatting sqref="O161:AD161">
    <cfRule type="expression" dxfId="336" priority="79">
      <formula>$AV$161=0</formula>
    </cfRule>
  </conditionalFormatting>
  <conditionalFormatting sqref="O84:AM84">
    <cfRule type="expression" dxfId="335" priority="54">
      <formula>$AV$84=0</formula>
    </cfRule>
  </conditionalFormatting>
  <conditionalFormatting sqref="P5">
    <cfRule type="expression" dxfId="334" priority="207">
      <formula>$P$5="※"</formula>
    </cfRule>
  </conditionalFormatting>
  <conditionalFormatting sqref="Q96:T96">
    <cfRule type="expression" dxfId="333" priority="189">
      <formula>AND($AV$96=TRUE,$Q$96=0)</formula>
    </cfRule>
  </conditionalFormatting>
  <conditionalFormatting sqref="Q97:T97">
    <cfRule type="expression" dxfId="332" priority="187">
      <formula>AND($AV$97=TRUE,$Q$97=0)</formula>
    </cfRule>
  </conditionalFormatting>
  <conditionalFormatting sqref="Q60:X60">
    <cfRule type="expression" dxfId="331" priority="62">
      <formula>VLOOKUP($AV$2,INDIRECT($AV$4),1,FALSE)=5</formula>
    </cfRule>
  </conditionalFormatting>
  <conditionalFormatting sqref="Q63:X63">
    <cfRule type="expression" dxfId="330" priority="63">
      <formula>VLOOKUP($AV$2,INDIRECT($AV$4),1,FALSE)=5</formula>
    </cfRule>
  </conditionalFormatting>
  <conditionalFormatting sqref="Q85:X85">
    <cfRule type="expression" dxfId="329" priority="52">
      <formula>AND($AV$84=2,OR($Q$85="",$S$85="",$U$85="",$W$85=""))</formula>
    </cfRule>
  </conditionalFormatting>
  <conditionalFormatting sqref="Q86:X86">
    <cfRule type="expression" dxfId="328" priority="49">
      <formula>AND($Q$86&lt;&gt;"",OR($S$86="",$U$86="",$W$86=""))</formula>
    </cfRule>
  </conditionalFormatting>
  <conditionalFormatting sqref="Q99:AF99">
    <cfRule type="expression" dxfId="327" priority="215">
      <formula>$AV$96=TRUE</formula>
    </cfRule>
  </conditionalFormatting>
  <conditionalFormatting sqref="Q99:AF100">
    <cfRule type="notContainsBlanks" dxfId="326" priority="192">
      <formula>LEN(TRIM(Q99))&gt;0</formula>
    </cfRule>
  </conditionalFormatting>
  <conditionalFormatting sqref="Q100:AF100">
    <cfRule type="expression" dxfId="325" priority="193">
      <formula>$AV$97=TRUE</formula>
    </cfRule>
  </conditionalFormatting>
  <conditionalFormatting sqref="R194:AT194 R197:AT197">
    <cfRule type="expression" dxfId="324" priority="26" stopIfTrue="1">
      <formula>#REF!&lt;&gt;""</formula>
    </cfRule>
  </conditionalFormatting>
  <conditionalFormatting sqref="S5">
    <cfRule type="expression" dxfId="323" priority="206">
      <formula>$S$5="※"</formula>
    </cfRule>
  </conditionalFormatting>
  <conditionalFormatting sqref="V5">
    <cfRule type="expression" dxfId="322" priority="205">
      <formula>$V$5="※"</formula>
    </cfRule>
  </conditionalFormatting>
  <conditionalFormatting sqref="V113:Z120">
    <cfRule type="expression" dxfId="321" priority="2">
      <formula>V113=""</formula>
    </cfRule>
  </conditionalFormatting>
  <conditionalFormatting sqref="W3">
    <cfRule type="expression" dxfId="320" priority="213">
      <formula>$W$3=""</formula>
    </cfRule>
  </conditionalFormatting>
  <conditionalFormatting sqref="Y5">
    <cfRule type="expression" dxfId="319" priority="200">
      <formula>$Y$5&lt;&gt;"-"</formula>
    </cfRule>
  </conditionalFormatting>
  <conditionalFormatting sqref="Y61:AA61">
    <cfRule type="expression" dxfId="318" priority="56">
      <formula>AND($AV$40=TRUE,OR($AV$42="",$AV$42="0000",LEFT($AV$41,2)&lt;&gt;LEFT($AV$42,2)))</formula>
    </cfRule>
  </conditionalFormatting>
  <conditionalFormatting sqref="Y97:AA97">
    <cfRule type="expression" dxfId="317" priority="186">
      <formula>AND($AV$97=TRUE,$Y$97=0)</formula>
    </cfRule>
  </conditionalFormatting>
  <conditionalFormatting sqref="Y96:AC96">
    <cfRule type="expression" dxfId="316" priority="188">
      <formula>AND($AV$96=TRUE,$Y$96=0)</formula>
    </cfRule>
  </conditionalFormatting>
  <conditionalFormatting sqref="Y16:AJ17">
    <cfRule type="expression" dxfId="315" priority="132">
      <formula>AND($AV$17=TRUE,SUM($Y16:$AJ17)=0)</formula>
    </cfRule>
  </conditionalFormatting>
  <conditionalFormatting sqref="Y19:AJ19">
    <cfRule type="expression" dxfId="314" priority="133">
      <formula>AND($AV19=TRUE,SUM($Y19:$AJ19)=0)</formula>
    </cfRule>
  </conditionalFormatting>
  <conditionalFormatting sqref="Y29:AJ33 Y35:AJ38">
    <cfRule type="expression" dxfId="313" priority="175">
      <formula>AND($AV29=TRUE,SUM($Y29:$AJ29)=0)</formula>
    </cfRule>
  </conditionalFormatting>
  <conditionalFormatting sqref="Y44:AJ45">
    <cfRule type="expression" dxfId="312" priority="174">
      <formula>AND($AV44=TRUE,SUM($Y44:$AJ44)=0)</formula>
    </cfRule>
  </conditionalFormatting>
  <conditionalFormatting sqref="Y47:AJ49">
    <cfRule type="expression" dxfId="311" priority="173">
      <formula>AND($AV$47=TRUE,SUM($Y$47:$AJ$49)=0)</formula>
    </cfRule>
  </conditionalFormatting>
  <conditionalFormatting sqref="Y50:AJ50">
    <cfRule type="expression" dxfId="310" priority="123">
      <formula>AND($AV50=TRUE,SUM($Y50:$AJ50)=0)</formula>
    </cfRule>
  </conditionalFormatting>
  <conditionalFormatting sqref="Y60:AJ60">
    <cfRule type="expression" dxfId="309" priority="67">
      <formula>AND($AV$60=TRUE,SUM($Q$60:$AJ$60)=0)</formula>
    </cfRule>
  </conditionalFormatting>
  <conditionalFormatting sqref="Y63:AJ63">
    <cfRule type="expression" dxfId="308" priority="64">
      <formula>AND($AV$64=TRUE,SUM($Q$63:$AJ$63)=0)</formula>
    </cfRule>
  </conditionalFormatting>
  <conditionalFormatting sqref="Y65:AJ65">
    <cfRule type="expression" dxfId="307" priority="152">
      <formula>AND($AV65=TRUE,SUM($Q65:$AJ65)=0)</formula>
    </cfRule>
  </conditionalFormatting>
  <conditionalFormatting sqref="Y67:AJ67">
    <cfRule type="expression" dxfId="306" priority="149">
      <formula>AND($AV67=TRUE,SUM($Q67:$AJ67)=0)</formula>
    </cfRule>
  </conditionalFormatting>
  <conditionalFormatting sqref="Y69:AJ71">
    <cfRule type="expression" dxfId="305" priority="120">
      <formula>AND($AV69=TRUE,SUM($Q69:$AJ69)=0)</formula>
    </cfRule>
  </conditionalFormatting>
  <conditionalFormatting sqref="Y75:AJ75">
    <cfRule type="expression" dxfId="304" priority="114">
      <formula>AND($AV75=TRUE,SUM($Q75:$AJ75)=0)</formula>
    </cfRule>
  </conditionalFormatting>
  <conditionalFormatting sqref="Y68:AL68">
    <cfRule type="expression" dxfId="303" priority="95">
      <formula>AND($AV$48=TRUE,OR($AV$50="",$AV$50="0000",LEFT($AV$49,2)&lt;&gt;LEFT($AV$50,2)))</formula>
    </cfRule>
  </conditionalFormatting>
  <conditionalFormatting sqref="Y66:AT66">
    <cfRule type="expression" dxfId="302" priority="103">
      <formula>VLOOKUP($AV$2,#REF!,47,FALSE)=0</formula>
    </cfRule>
  </conditionalFormatting>
  <conditionalFormatting sqref="AA121:AB121">
    <cfRule type="expression" dxfId="301" priority="1">
      <formula>$AV$158=2</formula>
    </cfRule>
  </conditionalFormatting>
  <conditionalFormatting sqref="AA131:AC144">
    <cfRule type="expression" dxfId="300" priority="197">
      <formula>AA131=""</formula>
    </cfRule>
  </conditionalFormatting>
  <conditionalFormatting sqref="AA85:AH85">
    <cfRule type="expression" dxfId="299" priority="51">
      <formula>AND($AA$85&lt;&gt;"",OR($AC$85="",$AE$85="",$AG$85=""))</formula>
    </cfRule>
  </conditionalFormatting>
  <conditionalFormatting sqref="AA86:AH86">
    <cfRule type="expression" dxfId="298" priority="48">
      <formula>AND($AA$86&lt;&gt;"",OR($AC$86="",$AE$86="",$AG$86=""))</formula>
    </cfRule>
  </conditionalFormatting>
  <conditionalFormatting sqref="AA51:AJ51">
    <cfRule type="expression" dxfId="297" priority="124">
      <formula>AND(AV50=TRUE,OR(AV51="0000",AW51="0000",LEFT(AV51,2)&lt;&gt;LEFT(AW51,2)))</formula>
    </cfRule>
  </conditionalFormatting>
  <conditionalFormatting sqref="AB5">
    <cfRule type="expression" dxfId="296" priority="204">
      <formula>$AB$5&lt;&gt;"-"</formula>
    </cfRule>
  </conditionalFormatting>
  <conditionalFormatting sqref="AB152:AC152 AE152:AF152 AK152:AT152 K152:X153 AA153:AT153">
    <cfRule type="expression" dxfId="295" priority="137">
      <formula>AND($AV$150=3,K152="")</formula>
    </cfRule>
  </conditionalFormatting>
  <conditionalFormatting sqref="AC97:AE97">
    <cfRule type="expression" dxfId="294" priority="185">
      <formula>AND($AV$97=TRUE,$AC$97=0)</formula>
    </cfRule>
  </conditionalFormatting>
  <conditionalFormatting sqref="AC66:AJ66">
    <cfRule type="expression" dxfId="293" priority="104">
      <formula>AND($AV$65=TRUE,$AW$66=0)</formula>
    </cfRule>
  </conditionalFormatting>
  <conditionalFormatting sqref="AC72:AT72">
    <cfRule type="expression" dxfId="292" priority="118">
      <formula>AND($AV$71=TRUE,$AW$72=0)</formula>
    </cfRule>
  </conditionalFormatting>
  <conditionalFormatting sqref="AC156:AT156">
    <cfRule type="expression" dxfId="291" priority="85">
      <formula>AND($AV$154=2,$AW$156=0)</formula>
    </cfRule>
  </conditionalFormatting>
  <conditionalFormatting sqref="AC159:AT159">
    <cfRule type="expression" dxfId="290" priority="82">
      <formula>$AV$159=1</formula>
    </cfRule>
    <cfRule type="expression" dxfId="289" priority="76">
      <formula>AND($AV$159=2,$AK$159="")</formula>
    </cfRule>
  </conditionalFormatting>
  <conditionalFormatting sqref="AE5">
    <cfRule type="expression" dxfId="288" priority="203">
      <formula>$AE$5&lt;&gt;"-"</formula>
    </cfRule>
  </conditionalFormatting>
  <conditionalFormatting sqref="AE161:AT161">
    <cfRule type="expression" dxfId="287" priority="80">
      <formula>$AW$161=0</formula>
    </cfRule>
  </conditionalFormatting>
  <conditionalFormatting sqref="AG99:AT100">
    <cfRule type="expression" dxfId="286" priority="191">
      <formula>OR($AV$96=TRUE,$AV$97=TRUE)</formula>
    </cfRule>
    <cfRule type="expression" dxfId="285" priority="190">
      <formula>#REF!=TRUE</formula>
    </cfRule>
  </conditionalFormatting>
  <conditionalFormatting sqref="AH8 AL8 AP8">
    <cfRule type="expression" dxfId="284" priority="183">
      <formula>AH8=""</formula>
    </cfRule>
  </conditionalFormatting>
  <conditionalFormatting sqref="AH5:AI5">
    <cfRule type="expression" dxfId="283" priority="163">
      <formula>$AH$5&lt;&gt;"-"</formula>
    </cfRule>
  </conditionalFormatting>
  <conditionalFormatting sqref="AI3">
    <cfRule type="expression" dxfId="282" priority="199">
      <formula>$AI$3=""</formula>
    </cfRule>
  </conditionalFormatting>
  <conditionalFormatting sqref="AI79:AT79">
    <cfRule type="expression" dxfId="281" priority="13">
      <formula>AND($AV$78=TRUE,$BA$79=0)</formula>
    </cfRule>
  </conditionalFormatting>
  <conditionalFormatting sqref="AK85:AR85">
    <cfRule type="expression" dxfId="280" priority="50">
      <formula>AND($AK$85&lt;&gt;"",OR($AM$85="",$AO$85="",$AQ$85=""))</formula>
    </cfRule>
  </conditionalFormatting>
  <conditionalFormatting sqref="AK86:AR86">
    <cfRule type="expression" dxfId="279" priority="47">
      <formula>AND($AK$86&lt;&gt;"",OR($AM$86="",$AO$86="",$AQ$86=""))</formula>
    </cfRule>
  </conditionalFormatting>
  <conditionalFormatting sqref="AP3:AT3">
    <cfRule type="expression" dxfId="278" priority="202">
      <formula>$AP$3=""</formula>
    </cfRule>
  </conditionalFormatting>
  <conditionalFormatting sqref="AR60:AT60">
    <cfRule type="expression" dxfId="277" priority="66">
      <formula>VLOOKUP($AV$2,INDIRECT($AV$4),45,FALSE)=0</formula>
    </cfRule>
  </conditionalFormatting>
  <dataValidations count="98">
    <dataValidation type="list" showInputMessage="1" showErrorMessage="1" sqref="AS60:AT60" xr:uid="{00000000-0002-0000-0100-000000000000}">
      <formula1>"0:無,1:有"</formula1>
    </dataValidation>
    <dataValidation type="list" allowBlank="1" showInputMessage="1" showErrorMessage="1" sqref="AP45:AT45" xr:uid="{00000000-0002-0000-0100-000001000000}">
      <formula1>WeChatPayビジネスカテゴリ</formula1>
    </dataValidation>
    <dataValidation allowBlank="1" showInputMessage="1" showErrorMessage="1" error="小数第二位までとなります。" sqref="Y66:AB66" xr:uid="{00000000-0002-0000-0100-000002000000}"/>
    <dataValidation type="list" allowBlank="1" showInputMessage="1" showErrorMessage="1" sqref="O66:X66" xr:uid="{00000000-0002-0000-0100-000003000000}">
      <formula1>d払い業態</formula1>
    </dataValidation>
    <dataValidation type="custom" imeMode="halfAlpha" allowBlank="1" showInputMessage="1" showErrorMessage="1" error="半角英数字で入力してください。" promptTitle="パートナーコード" prompt="パートナー案件で無い場合は『-』と記入して下さい" sqref="I4:K4" xr:uid="{00000000-0002-0000-0100-000004000000}">
      <formula1>AND(COUNT(INDEX(FIND(MID(UPPER(I4)&amp;REPT("*",25),ROW($1:$25),1),"ABCDEFGHIJKLMNOPQRSTUVWXYZ1234567890-,  "),))=LEN(I4),LEN(I4)&lt;26)</formula1>
    </dataValidation>
    <dataValidation type="textLength" imeMode="disabled" operator="equal" allowBlank="1" showInputMessage="1" showErrorMessage="1" error="7桁で入力ください。_x000a_（7桁未満の場合は先頭に０をご入力ください。）" sqref="AI161:AJ161" xr:uid="{00000000-0002-0000-0100-000005000000}">
      <formula1>7</formula1>
    </dataValidation>
    <dataValidation type="textLength" operator="lessThan" allowBlank="1" showInputMessage="1" showErrorMessage="1" error="19文字以内で入力ください。" sqref="Q164:Q167 AG164:AK167 Y164:Y167 AC164:AC167" xr:uid="{00000000-0002-0000-0100-000006000000}">
      <formula1>20</formula1>
    </dataValidation>
    <dataValidation type="list" allowBlank="1" showInputMessage="1" showErrorMessage="1" sqref="L65:N65 L63:N63 L47:N50 L44:N45 L67:N67 L34:N34 L69:N71 L16:N19 L75:N75 L60:N60 L78:N78 L80:N80" xr:uid="{00000000-0002-0000-0100-000007000000}">
      <formula1>$BC$2:$BC$3</formula1>
    </dataValidation>
    <dataValidation type="list" allowBlank="1" showInputMessage="1" showErrorMessage="1" sqref="O46:P46" xr:uid="{00000000-0002-0000-0100-000008000000}">
      <formula1>$BE$71:$BE$72</formula1>
    </dataValidation>
    <dataValidation type="list" allowBlank="1" showInputMessage="1" showErrorMessage="1" sqref="AQ19" xr:uid="{00000000-0002-0000-0100-000009000000}">
      <formula1>"-,初回申込時不要"</formula1>
    </dataValidation>
    <dataValidation type="list" allowBlank="1" showInputMessage="1" showErrorMessage="1" sqref="AD109:AG109" xr:uid="{00000000-0002-0000-0100-00000A000000}">
      <formula1>"選択してください,docomo,SoftBank"</formula1>
    </dataValidation>
    <dataValidation type="list" allowBlank="1" showInputMessage="1" showErrorMessage="1" sqref="L107:P110" xr:uid="{00000000-0002-0000-0100-00000B000000}">
      <formula1>"選択してください,申し込む"</formula1>
    </dataValidation>
    <dataValidation type="whole" imeMode="disabled" operator="greaterThanOrEqual" allowBlank="1" showInputMessage="1" showErrorMessage="1" sqref="AK159:AT159 Q107:Z110 V113:Z113 V119:Z120" xr:uid="{00000000-0002-0000-0100-00000C000000}">
      <formula1>0</formula1>
    </dataValidation>
    <dataValidation type="whole" imeMode="disabled" allowBlank="1" showInputMessage="1" showErrorMessage="1" sqref="AA126:AC146" xr:uid="{00000000-0002-0000-0100-00000D000000}">
      <formula1>0</formula1>
      <formula2>9999999999</formula2>
    </dataValidation>
    <dataValidation imeMode="disabled" allowBlank="1" showInputMessage="1" showErrorMessage="1" sqref="AG71:AJ71 Q16:Q19 AG44:AJ45 Q63 Q52:X52 Q44:X45 AG29:AJ38 AC157:AC158 U69:U70 U65 AG67 Q67 U67 AG63 U63 Q69:Q70 Q65 AG69:AG70 AN65:AT65 AG65 Q160:S160 AG47:AJ50 AG52:AJ52 U75 AG75 Q75 Q71:X71 Q60:X60 AG16:AJ19 U16:U19 Q29:X38 Q47:X50 O161 AI157:AK158 Q154:S154 W154:Y154 AC154:AK154 S156:S158 AK156 Q157:R158 AO156:AQ156 AK161 Y156:Y157 AD157:AH157 W156:X158 Y161:AA161 S161:U161 AO161:AQ161 W160:Y160 K160 AG60:AJ60 AG80:AJ80 AG78:AJ78 Q78:X78 Q80:X80" xr:uid="{00000000-0002-0000-0100-00000E000000}"/>
    <dataValidation type="custom" imeMode="disabled" allowBlank="1" showInputMessage="1" showErrorMessage="1" error="小数第二位までとなります。" sqref="Y47:AF50 Y16:AF19 Y44:AF45 Y29:AF38 Y69:Y70 Y65 AC69:AC70 AC65 Y75 Y52:AF52 AC67 Y67 Y71:AF71 Y63 AC75 Y60:AF60 AC63 Y78:AF78 Y80:AF80" xr:uid="{00000000-0002-0000-0100-00000F000000}">
      <formula1>ROUND(Y16,4)=Y16</formula1>
    </dataValidation>
    <dataValidation type="custom" imeMode="disabled" allowBlank="1" showInputMessage="1" showErrorMessage="1" sqref="R3:S3" xr:uid="{00000000-0002-0000-0100-000010000000}">
      <formula1>AND(LENB(R3)=LEN(R3),LEN(R3)=3)</formula1>
    </dataValidation>
    <dataValidation type="custom" imeMode="disabled" allowBlank="1" showInputMessage="1" showErrorMessage="1" sqref="I3:K3" xr:uid="{00000000-0002-0000-0100-000011000000}">
      <formula1>AND(LENB(I3)=LEN(I3),LEN(I3)=5)</formula1>
    </dataValidation>
    <dataValidation type="custom" imeMode="disabled" operator="equal" allowBlank="1" showInputMessage="1" showErrorMessage="1" sqref="W3:Y3" xr:uid="{00000000-0002-0000-0100-000012000000}">
      <formula1>AND(LENB(W3)=LEN(W3),LEN(W3)=7)</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xr:uid="{00000000-0002-0000-0100-000013000000}">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xr:uid="{00000000-0002-0000-0100-000014000000}">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xr:uid="{00000000-0002-0000-0100-000015000000}">
      <formula1>AND(AP8&lt;&gt;0,AP8&lt;32,ISERROR(FIND("NG",AZ8)))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xr:uid="{00000000-0002-0000-0100-000016000000}">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sqref="P8:R8" xr:uid="{00000000-0002-0000-0100-000017000000}">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xr:uid="{00000000-0002-0000-0100-000018000000}">
      <formula1>AND(T8&lt;&gt;0,T8&lt;32,ISERROR(FIND("NG",AZ8)))</formula1>
    </dataValidation>
    <dataValidation type="list" allowBlank="1" showInputMessage="1" showErrorMessage="1" sqref="O69:P71 O29:P34 O44:P45 O47:P50 O65:P65 O63:P63 O16:O19 O67:P67 O75:P75 O60:P60 O78:P78 O80:P80" xr:uid="{00000000-0002-0000-0100-000019000000}">
      <formula1>"2回入金,早期2回,早期3回,早期4回,早期6回"</formula1>
    </dataValidation>
    <dataValidation type="textLength" imeMode="halfAlpha" operator="equal" allowBlank="1" showInputMessage="1" showErrorMessage="1" sqref="L99:N100" xr:uid="{00000000-0002-0000-0100-00001A000000}">
      <formula1>5</formula1>
    </dataValidation>
    <dataValidation imeMode="halfAlpha" operator="equal" allowBlank="1" showInputMessage="1" showErrorMessage="1" errorTitle="半角数字のみ" error="半角数字8文字のみ入力可能です。_x000a_（ハイフン等入れずに入力ください）" sqref="Q96:Q97" xr:uid="{00000000-0002-0000-0100-00001B000000}"/>
    <dataValidation imeMode="disabled" operator="equal" allowBlank="1" showInputMessage="1" showErrorMessage="1" errorTitle="半角数字のみ" error="半角数字8文字のみ入力可能です。_x000a_（ハイフン等入れずに入力ください）" sqref="AC97" xr:uid="{00000000-0002-0000-0100-00001C000000}"/>
    <dataValidation type="whole" imeMode="halfAlpha" operator="greaterThanOrEqual" allowBlank="1" showInputMessage="1" showErrorMessage="1" errorTitle="半角数字のみ" error="半角数字8文字のみ入力可能です。_x000a_（ハイフン等入れずに入力ください）" sqref="U96:U97 L96:L97" xr:uid="{00000000-0002-0000-0100-00001D000000}">
      <formula1>0</formula1>
    </dataValidation>
    <dataValidation type="list" allowBlank="1" showInputMessage="1" showErrorMessage="1" sqref="AI3:AK3" xr:uid="{00000000-0002-0000-0100-00001E000000}">
      <formula1>"吉村 礼子,二河 めぐみ,吉澤 眞季,田仲 由佳,我妻 奈緒美,鈴木 琳花,浜口 真歩"</formula1>
    </dataValidation>
    <dataValidation type="list" allowBlank="1" showInputMessage="1" showErrorMessage="1" sqref="AL65552:AT65552 AL983056:AT983056 AL917520:AT917520 AL851984:AT851984 AL786448:AT786448 AL720912:AT720912 AL655376:AT655376 AL589840:AT589840 AL524304:AT524304 AL458768:AT458768 AL393232:AT393232 AL327696:AT327696 AL262160:AT262160 AL196624:AT196624 AL131088:AT131088" xr:uid="{00000000-0002-0000-0100-00001F000000}">
      <formula1>$AZ$2:$AZ$10</formula1>
    </dataValidation>
    <dataValidation imeMode="halfAlpha" allowBlank="1" showInputMessage="1" showErrorMessage="1" sqref="AF65698:AT65698 AF131234:AT131234 AF196770:AT196770 AF262306:AT262306 AF327842:AT327842 AF393378:AT393378 AF458914:AT458914 AF524450:AT524450 AF589986:AT589986 AF655522:AT655522 AF721058:AT721058 AF786594:AT786594 AF852130:AT852130 AF917666:AT917666 AF983202:AT983202 I65533:X65533 I131069:X131069 I196605:X196605 I262141:X262141 I327677:X327677 I393213:X393213 I458749:X458749 I524285:X524285 I589821:X589821 I655357:X655357 I720893:X720893 I786429:X786429 I851965:X851965 I917501:X917501 I983037:X983037 AQ65538:AR65539 AQ131074:AR131075 AQ196610:AR196611 AQ262146:AR262147 AQ327682:AR327683 AQ393218:AR393219 AQ458754:AR458755 AQ524290:AR524291 AQ589826:AR589827 AQ655362:AR655363 AQ720898:AR720899 AQ786434:AR786435 AQ851970:AR851971 AQ917506:AR917507 AQ983042:AR983043 I65536:AT65536 I131072:AT131072 I196608:AT196608 I262144:AT262144 I327680:AT327680 I393216:AT393216 I458752:AT458752 I524288:AT524288 I589824:AT589824 I655360:AT655360 I720896:AT720896 I786432:AT786432 I851968:AT851968 I917504:AT917504 I983040:AT983040 AC65553:AE65553 AC131089:AE131089 AC196625:AE196625 AC262161:AE262161 AC327697:AE327697 AC393233:AE393233 AC458769:AE458769 AC524305:AE524305 AC589841:AE589841 AC655377:AE655377 AC720913:AE720913 AC786449:AE786449 AC851985:AE851985 AC917521:AE917521 AC983057:AE983057 AH65553:AJ65553 AH131089:AJ131089 AH196625:AJ196625 AH262161:AJ262161 AH327697:AJ327697 AH393233:AJ393233 AH458769:AJ458769 AH524305:AJ524305 AH589841:AJ589841 AH655377:AJ655377 AH720913:AJ720913 AH786449:AJ786449 AH851985:AJ851985 AH917521:AJ917521 AH983057:AJ983057 AQ65553:AS65553 AQ131089:AS131089 AQ196625:AS196625 AQ262161:AS262161 AQ327697:AS327697 AQ393233:AS393233 AQ458769:AS458769 AQ524305:AS524305 AQ589841:AS589841 AQ655377:AS655377 AQ720913:AS720913 AQ786449:AS786449 AQ851985:AS851985 AQ917521:AS917521 AQ983057:AS983057 AE65670:AT65670 AE131206:AT131206 AE196742:AT196742 AE262278:AT262278 AE327814:AT327814 AE393350:AT393350 AE458886:AT458886 AE524422:AT524422 AE589958:AT589958 AE655494:AT655494 AE721030:AT721030 AE786566:AT786566 AE852102:AT852102 AE917638:AT917638 AE983174:AT983174 AE65673:AT65674 AE131209:AT131210 AE196745:AT196746 AE262281:AT262282 AE327817:AT327818 AE393353:AT393354 AE458889:AT458890 AE524425:AT524426 AE589961:AT589962 AE655497:AT655498 AE721033:AT721034 AE786569:AT786570 AE852105:AT852106 AE917641:AT917642 AE983177:AT983178 AE65676:AT65677 AE131212:AT131213 AE196748:AT196749 AE262284:AT262285 AE327820:AT327821 AE393356:AT393357 AE458892:AT458893 AE524428:AT524429 AE589964:AT589965 AE655500:AT655501 AE721036:AT721037 AE786572:AT786573 AE852108:AT852109 AE917644:AT917645 AE983180:AT983181 I65686:P65687 I131222:P131223 I196758:P196759 I262294:P262295 I327830:P327831 I393366:P393367 I458902:P458903 I524438:P524439 I589974:P589975 I655510:P655511 I721046:P721047 I786582:P786583 I852118:P852119 I917654:P917655 I983190:P983191 V65686:AA65687 V131222:AA131223 V196758:AA196759 V262294:AA262295 V327830:AA327831 V393366:AA393367 V458902:AA458903 V524438:AA524439 V589974:AA589975 V655510:AA655511 V721046:AA721047 V786582:AA786583 V852118:AA852119 V917654:AA917655 V983190:AA983191 V65688:AI65689 V131224:AI131225 V196760:AI196761 V262296:AI262297 V327832:AI327833 V393368:AI393369 V458904:AI458905 V524440:AI524441 V589976:AI589977 V655512:AI655513 V721048:AI721049 V786584:AI786585 V852120:AI852121 V917656:AI917657 V983192:AI983193 AQ7:AT7 AP3:AT3 AP5:AP7 AQ5:AT5" xr:uid="{00000000-0002-0000-0100-000020000000}"/>
    <dataValidation imeMode="hiragana" allowBlank="1" showInputMessage="1" showErrorMessage="1" sqref="I65535:AT65535 I131071:AT131071 I196607:AT196607 I262143:AT262143 I327679:AT327679 I393215:AT393215 I458751:AT458751 I524287:AT524287 I589823:AT589823 I655359:AT655359 I720895:AT720895 I786431:AT786431 I851967:AT851967 I917503:AT917503 I983039:AT983039 I65527:AT65528 I131063:AT131064 I196599:AT196600 I262135:AT262136 I327671:AT327672 I393207:AT393208 I458743:AT458744 I524279:AT524280 I589815:AT589816 I655351:AT655352 I720887:AT720888 I786423:AT786424 I851959:AT851960 I917495:AT917496 I983031:AT983032 W65537:AA65539 W131073:AA131075 W196609:AA196611 W262145:AA262147 W327681:AA327683 W393217:AA393219 W458753:AA458755 W524289:AA524291 W589825:AA589827 W655361:AA655363 W720897:AA720899 W786433:AA786435 W851969:AA851971 W917505:AA917507 W983041:AA983043 I65538:Q65539 I131074:Q131075 I196610:Q196611 I262146:Q262147 I327682:Q327683 I393218:Q393219 I458754:Q458755 I524290:Q524291 I589826:Q589827 I655362:Q655363 I720898:Q720899 I786434:Q786435 I851970:Q851971 I917506:Q917507 I983042:Q983043 I65679:AT65680 I131215:AT131216 I196751:AT196752 I262287:AT262288 I327823:AT327824 I393359:AT393360 I458895:AT458896 I524431:AT524432 I589967:AT589968 I655503:AT655504 I721039:AT721040 I786575:AT786576 I852111:AT852112 I917647:AT917648 I983183:AT983184 AE65669:AT65669 AE131205:AT131205 AE196741:AT196741 AE262277:AT262277 AE327813:AT327813 AE393349:AT393349 AE458885:AT458885 AE524421:AT524421 AE589957:AT589957 AE655493:AT655493 AE721029:AT721029 AE786565:AT786565 AE852101:AT852101 AE917637:AT917637 AE983173:AT983173 AE65672:AT65672 AE131208:AT131208 AE196744:AT196744 AE262280:AT262280 AE327816:AT327816 AE393352:AT393352 AE458888:AT458888 AE524424:AT524424 AE589960:AT589960 AE655496:AT655496 AE721032:AT721032 AE786568:AT786568 AE852104:AT852104 AE917640:AT917640 AE983176:AT983176 AE65675:AT65675 AE131211:AT131211 AE196747:AT196747 AE262283:AT262283 AE327819:AT327819 AE393355:AT393355 AE458891:AT458891 AE524427:AT524427 AE589963:AT589963 AE655499:AT655499 AE721035:AT721035 AE786571:AT786571 AE852107:AT852107 AE917643:AT917643 AE983179:AT983179 I65684:R65685 I131220:R131221 I196756:R196757 I262292:R262293 I327828:R327829 I393364:R393365 I458900:R458901 I524436:R524437 I589972:R589973 I655508:R655509 I721044:R721045 I786580:R786581 I852116:R852117 I917652:R917653 I983188:R983189 AG65684:AN65685 AG131220:AN131221 AG196756:AN196757 AG262292:AN262293 AG327828:AN327829 AG393364:AN393365 AG458900:AN458901 AG524436:AN524437 AG589972:AN589973 AG655508:AN655509 AG721044:AN721045 AG786580:AN786581 AG852116:AN852117 AG917652:AN917653 AG983188:AN983189 I65690:AT65691 I131226:AT131227 I196762:AT196763 I262298:AT262299 I327834:AT327835 I393370:AT393371 I458906:AT458907 I524442:AT524443 I589978:AT589979 I655514:AT655515 I721050:AT721051 I786586:AT786587 I852122:AT852123 I917658:AT917659 I983194:AT983195 AB131251 S65705:AT65705 S131241:AT131241 S196777:AT196777 S262313:AT262313 S327849:AT327849 S393385:AT393385 S458921:AT458921 S524457:AT524457 S589993:AT589993 S655529:AT655529 S721065:AT721065 S786601:AT786601 S852137:AT852137 S917673:AT917673 S983209:AT983209 AB196787 U65706:AS65706 U131242:AS131242 U196778:AS196778 U262314:AS262314 U327850:AS327850 U393386:AS393386 U458922:AS458922 U524458:AS524458 U589994:AS589994 U655530:AS655530 U721066:AS721066 U786602:AS786602 U852138:AS852138 U917674:AS917674 U983210:AS983210 AB262323 N65707:AA65707 N131243:AA131243 N196779:AA196779 N262315:AA262315 N327851:AA327851 N393387:AA393387 N458923:AA458923 N524459:AA524459 N589995:AA589995 N655531:AA655531 N721067:AA721067 N786603:AA786603 N852139:AA852139 N917675:AA917675 N983211:AA983211 AB327859 AG65707:AT65707 AG131243:AT131243 AG196779:AT196779 AG262315:AT262315 AG327851:AT327851 AG393387:AT393387 AG458923:AT458923 AG524459:AT524459 AG589995:AT589995 AG655531:AT655531 AG721067:AT721067 AG786603:AT786603 AG852139:AT852139 AG917675:AT917675 AG983211:AT983211 X65708:AS65708 X131244:AS131244 X196780:AS196780 X262316:AS262316 X327852:AS327852 X393388:AS393388 X458924:AS458924 X524460:AS524460 X589996:AS589996 X655532:AS655532 X721068:AS721068 X786604:AS786604 X852140:AS852140 X917676:AS917676 X983212:AS983212 AB393395 N65709:AA65710 N131245:AA131246 N196781:AA196782 N262317:AA262318 N327853:AA327854 N393389:AA393390 N458925:AA458926 N524461:AA524462 N589997:AA589998 N655533:AA655534 N721069:AA721070 N786605:AA786606 N852141:AA852142 N917677:AA917678 N983213:AA983214 AB458931 AG65709:AT65710 AG131245:AT131246 AG196781:AT196782 AG262317:AT262318 AG327853:AT327854 AG393389:AT393390 AG458925:AT458926 AG524461:AT524462 AG589997:AT589998 AG655533:AT655534 AG721069:AT721070 AG786605:AT786606 AG852141:AT852142 AG917677:AT917678 AG983213:AT983214 AB524467 U65702:AS65703 U131238:AS131239 U196774:AS196775 U262310:AS262311 U327846:AS327847 U393382:AS393383 U458918:AS458919 U524454:AS524455 U589990:AS589991 U655526:AS655527 U721062:AS721063 U786598:AS786599 U852134:AS852135 U917670:AS917671 U983206:AS983207 AB590003 I65701:Y65701 I131237:Y131237 I196773:Y196773 I262309:Y262309 I327845:Y327845 I393381:Y393381 I458917:Y458917 I524453:Y524453 I589989:Y589989 I655525:Y655525 I721061:Y721061 I786597:Y786597 I852133:Y852133 I917669:Y917669 I983205:Y983205 AB655539 AE65701:AT65701 AE131237:AT131237 AE196773:AT196773 AE262309:AT262309 AE327845:AT327845 AE393381:AT393381 AE458917:AT458917 AE524453:AT524453 AE589989:AT589989 AE655525:AT655525 AE721061:AT721061 AE786597:AT786597 AE852133:AT852133 AE917669:AT917669 AE983205:AT983205 AB721075 X65700:AT65700 X131236:AT131236 X196772:AT196772 X262308:AT262308 X327844:AT327844 X393380:AT393380 X458916:AT458916 X524452:AT524452 X589988:AT589988 X655524:AT655524 X721060:AT721060 X786596:AT786596 X852132:AT852132 X917668:AT917668 X983204:AT983204 AB786611 Z65699:AT65699 Z131235:AT131235 Z196771:AT196771 Z262307:AT262307 Z327843:AT327843 Z393379:AT393379 Z458915:AT458915 Z524451:AT524451 Z589987:AT589987 Z655523:AT655523 Z721059:AT721059 Z786595:AT786595 Z852131:AT852131 Z917667:AT917667 Z983203:AT983203 AB852147 W65704 W131240 W196776 W262312 W327848 W393384 W458920 W524456 W589992 W655528 W721064 W786600 W852136 W917672 W983208 AB917683 W65711:W65714 W131247:W131250 W196783:W196786 W262319:W262322 W327855:W327858 W393391:W393394 W458927:W458930 W524463:W524466 W589999:W590002 W655535:W655538 W721071:W721074 W786607:W786610 W852143:W852146 W917679:W917682 W983215:W983218 AB983219 AB65715 K152:X153 AA153:AT153 Q155" xr:uid="{00000000-0002-0000-0100-000021000000}"/>
    <dataValidation type="list" allowBlank="1" showInputMessage="1" showErrorMessage="1" sqref="L983153:N983161 L852081:N852089 L786545:N786553 L721009:N721017 L655473:N655481 L589937:N589945 L524401:N524409 L458865:N458873 L393329:N393337 L327793:N327801 L262257:N262265 L196721:N196729 L131185:N131193 L65649:N65657 L983127:N983150 L917591:N917614 L852055:N852078 L786519:N786542 L720983:N721006 L655447:N655470 L589911:N589934 L524375:N524398 L458839:N458862 L393303:N393326 L327767:N327790 L262231:N262254 L196695:N196718 L131159:N131182 L65623:N65646 L917617:N917625 L983122:N983124 L917586:N917588 L852050:N852052 L786514:N786516 L720978:N720980 L655442:N655444 L589906:N589908 L524370:N524372 L458834:N458836 L393298:N393300 L327762:N327764 L262226:N262228 L196690:N196692 L131154:N131156 L65618:N65620 L983117:N983119 L917581:N917583 L852045:N852047 L786509:N786511 L720973:N720975 L655437:N655439 L589901:N589903 L524365:N524367 L458829:N458831 L393293:N393295 L327757:N327759 L262221:N262223 L196685:N196687 L131149:N131151 L65613:N65615 L983110:N983114 L917574:N917578 L852038:N852042 L786502:N786506 L720966:N720970 L655430:N655434 L589894:N589898 L524358:N524362 L458822:N458826 L393286:N393290 L327750:N327754 L262214:N262218 L196678:N196682 L131142:N131146 L65606:N65610 L983104:N983107 L917568:N917571 L852032:N852035 L786496:N786499 L720960:N720963 L655424:N655427 L589888:N589891 L524352:N524355 L458816:N458819 L393280:N393283 L327744:N327747 L262208:N262211 L196672:N196675 L131136:N131139 L65600:N65603 L983095:N983101 L917559:N917565 L852023:N852029 L786487:N786493 L720951:N720957 L655415:N655421 L589879:N589885 L524343:N524349 L458807:N458813 L393271:N393277 L327735:N327741 L262199:N262205 L196663:N196669 L131127:N131133 L65591:N65597 L983086:N983092 L917550:N917556 L852014:N852020 L786478:N786484 L720942:N720948 L655406:N655412 L589870:N589876 L524334:N524340 L458798:N458804 L393262:N393268 L327726:N327732 L262190:N262196 L196654:N196660 L131118:N131124 L65582:N65588 L983081:N983083 L917545:N917547 L852009:N852011 L786473:N786475 L720937:N720939 L655401:N655403 L589865:N589867 L524329:N524331 L458793:N458795 L393257:N393259 L327721:N327723 L262185:N262187 L196649:N196651 L131113:N131115 L65577:N65579 L983078:N983079 L917542:N917543 L852006:N852007 L786470:N786471 L720934:N720935 L655398:N655399 L589862:N589863 L524326:N524327 L458790:N458791 L393254:N393255 L327718:N327719 L262182:N262183 L196646:N196647 L131110:N131111 L65574:N65575 L983069:N983072 L917533:N917536 L851997:N852000 L786461:N786464 L720925:N720928 L655389:N655392 L589853:N589856 L524317:N524320 L458781:N458784 L393245:N393248 L327709:N327712 L262173:N262176 L196637:N196640 L131101:N131104 L65565:N65568" xr:uid="{00000000-0002-0000-0100-000022000000}">
      <formula1>$CF$29:$CF$30</formula1>
    </dataValidation>
    <dataValidation allowBlank="1" showInputMessage="1" showErrorMessage="1" promptTitle="E-mailアドレス" prompt="設定できるE-mailアドレスは1つです。_x000a_メーリングリストのご指定を推奨しております。" sqref="Z65671:AD65671 Z131207:AD131207 Z196743:AD196743 Z262279:AD262279 Z327815:AD327815 Z393351:AD393351 Z458887:AD458887 Z524423:AD524423 Z589959:AD589959 Z655495:AD655495 Z721031:AD721031 Z786567:AD786567 Z852103:AD852103 Z917639:AD917639 Z983175:AD983175" xr:uid="{00000000-0002-0000-0100-000023000000}"/>
    <dataValidation imeMode="halfAlpha" allowBlank="1" showInputMessage="1" showErrorMessage="1" promptTitle="メールアドレス" prompt="グループアドレスのご指定を推奨しております。" sqref="AE65671:AT65671 AE131207:AT131207 AE196743:AT196743 AE262279:AT262279 AE327815:AT327815 AE393351:AT393351 AE458887:AT458887 AE524423:AT524423 AE589959:AT589959 AE655495:AT655495 AE721031:AT721031 AE786567:AT786567 AE852103:AT852103 AE917639:AT917639 AE983175:AT983175" xr:uid="{00000000-0002-0000-0100-000024000000}"/>
    <dataValidation imeMode="halfAlpha" allowBlank="1" showInputMessage="1" showErrorMessage="1" promptTitle="FAX番号" prompt="FAXが無い場合は『00-0000-0000』とご入力下さい。" sqref="AE65533:AT65533 AE131069:AT131069 AE196605:AT196605 AE262141:AT262141 AE327677:AT327677 AE393213:AT393213 AE458749:AT458749 AE524285:AT524285 AE589821:AT589821 AE655357:AT655357 AE720893:AT720893 AE786429:AT786429 AE851965:AT851965 AE917501:AT917501 AE983037:AT983037 AE65678:AT65678 AE131214:AT131214 AE196750:AT196750 AE262286:AT262286 AE327822:AT327822 AE393358:AT393358 AE458894:AT458894 AE524430:AT524430 AE589966:AT589966 AE655502:AT655502 AE721038:AT721038 AE786574:AT786574 AE852110:AT852110 AE917646:AT917646 AE983182:AT983182" xr:uid="{00000000-0002-0000-0100-000025000000}"/>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21:AR65522 AQ131057:AR131058 AQ196593:AR196594 AQ262129:AR262130 AQ327665:AR327666 AQ393201:AR393202 AQ458737:AR458738 AQ524273:AR524274 AQ589809:AR589810 AQ655345:AR655346 AQ720881:AR720882 AQ786417:AR786418 AQ851953:AR851954 AQ917489:AR917490 AQ983025:AR983026" xr:uid="{00000000-0002-0000-0100-000026000000}">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21:AN65522 AM131057:AN131058 AM196593:AN196594 AM262129:AN262130 AM327665:AN327666 AM393201:AN393202 AM458737:AN458738 AM524273:AN524274 AM589809:AN589810 AM655345:AN655346 AM720881:AN720882 AM786417:AN786418 AM851953:AN851954 AM917489:AN917490 AM983025:AN983026" xr:uid="{00000000-0002-0000-0100-000027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21:AJ65522 AH131057:AJ131058 AH196593:AJ196594 AH262129:AJ262130 AH327665:AJ327666 AH393201:AJ393202 AH458737:AJ458738 AH524273:AJ524274 AH589809:AJ589810 AH655345:AJ655346 AH720881:AJ720882 AH786417:AJ786418 AH851953:AJ851954 AH917489:AJ917490 AH983025:AJ983026" xr:uid="{00000000-0002-0000-0100-000028000000}">
      <formula1>2012</formula1>
      <formula2>2020</formula2>
    </dataValidation>
    <dataValidation type="whole" imeMode="halfAlpha" allowBlank="1" showInputMessage="1" showErrorMessage="1" promptTitle="年商" prompt="設立初年度などは『0』とご入力下さい。" sqref="AN65534:AR65534 AN131070:AR131070 AN196606:AR196606 AN262142:AR262142 AN327678:AR327678 AN393214:AR393214 AN458750:AR458750 AN524286:AR524286 AN589822:AR589822 AN655358:AR655358 AN720894:AR720894 AN786430:AR786430 AN851966:AR851966 AN917502:AR917502 AN983038:AR983038" xr:uid="{00000000-0002-0000-0100-000029000000}">
      <formula1>0</formula1>
      <formula2>9999999999999</formula2>
    </dataValidation>
    <dataValidation type="whole" imeMode="halfAlpha" allowBlank="1" showInputMessage="1" showErrorMessage="1" sqref="AA65534:AE65534 AA131070:AE131070 AA196606:AE196606 AA262142:AE262142 AA327678:AE327678 AA393214:AE393214 AA458750:AE458750 AA524286:AE524286 AA589822:AE589822 AA655358:AE655358 AA720894:AE720894 AA786430:AE786430 AA851966:AE851966 AA917502:AE917502 AA983038:AE983038" xr:uid="{00000000-0002-0000-0100-00002A000000}">
      <formula1>0</formula1>
      <formula2>99999999999</formula2>
    </dataValidation>
    <dataValidation type="textLength" imeMode="halfAlpha" allowBlank="1" showInputMessage="1" showErrorMessage="1" sqref="R983007 R65503 R131039 R196575 R262111 R327647 R393183 R458719 R524255 R589791 R655327 R720863 R786399 R851935 R917471" xr:uid="{00000000-0002-0000-0100-00002B000000}">
      <formula1>3</formula1>
      <formula2>3</formula2>
    </dataValidation>
    <dataValidation type="textLength" imeMode="halfAlpha" allowBlank="1" showInputMessage="1" showErrorMessage="1" sqref="I983007 I65503 I131039 I196575 I262111 I327647 I393183 I458719 I524255 I589791 I655327 I720863 I786399 I851935 I917471" xr:uid="{00000000-0002-0000-0100-00002C000000}">
      <formula1>5</formula1>
      <formula2>5</formula2>
    </dataValidation>
    <dataValidation type="whole" imeMode="halfAlpha" allowBlank="1" showInputMessage="1" showErrorMessage="1" sqref="AI65538:AJ65539 AI131074:AJ131075 AI196610:AJ196611 AI262146:AJ262147 AI327682:AJ327683 AI393218:AJ393219 AI458754:AJ458755 AI524290:AJ524291 AI589826:AJ589827 AI655362:AJ655363 AI720898:AJ720899 AI786434:AJ786435 AI851970:AJ851971 AI917506:AJ917507 AI983042:AJ983043" xr:uid="{00000000-0002-0000-0100-00002D000000}">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46:AT65547 AB131082:AT131083 AB196618:AT196619 AB262154:AT262155 AB327690:AT327691 AB393226:AT393227 AB458762:AT458763 AB524298:AT524299 AB589834:AT589835 AB655370:AT655371 AB720906:AT720907 AB786442:AT786443 AB851978:AT851979 AB917514:AT917515 AB983050:AT983051" xr:uid="{00000000-0002-0000-0100-00002E000000}">
      <formula1>25</formula1>
    </dataValidation>
    <dataValidation type="whole" imeMode="halfAlpha" allowBlank="1" showInputMessage="1" showErrorMessage="1" sqref="K65534:L65534 K131070:L131070 K196606:L196606 K262142:L262142 K327678:L327678 K393214:L393214 K458750:L458750 K524286:L524286 K589822:L589822 K655358:L655358 K720894:L720894 K786430:L786430 K851966:L851966 K917502:L917502 K983038:L983038" xr:uid="{00000000-0002-0000-0100-00002F000000}">
      <formula1>1000</formula1>
      <formula2>2020</formula2>
    </dataValidation>
    <dataValidation type="textLength" imeMode="halfAlpha" operator="equal" allowBlank="1" showInputMessage="1" showErrorMessage="1" sqref="J65530:K65530 J131066:K131066 J196602:K196602 J262138:K262138 J327674:K327674 J393210:K393210 J458746:K458746 J524282:K524282 J589818:K589818 J655354:K655354 J720890:K720890 J786426:K786426 J851962:K851962 J917498:K917498 J983034:K983034 J65678:K65678 J131214:K131214 J196750:K196750 J262286:K262286 J327822:K327822 J393358:K393358 J458894:K458894 J524430:K524430 J589966:K589966 J655502:K655502 J721038:K721038 J786574:K786574 J852110:K852110 J917646:K917646 J983182:K983182 O99:P100" xr:uid="{00000000-0002-0000-0100-000030000000}">
      <formula1>3</formula1>
    </dataValidation>
    <dataValidation type="textLength" imeMode="halfAlpha" operator="equal" allowBlank="1" showInputMessage="1" showErrorMessage="1" sqref="M65530:P65530 M131066:P131066 M196602:P196602 M262138:P262138 M327674:P327674 M393210:P393210 M458746:P458746 M524282:P524282 M589818:P589818 M655354:P655354 M720890:P720890 M786426:P786426 M851962:P851962 M917498:P917498 M983034:P983034 M65678:N65678 M131214:N131214 M196750:N196750 M262286:N262286 M327822:N327822 M393358:N393358 M458894:N458894 M524430:N524430 M589966:N589966 M655502:N655502 M721038:N721038 M786574:N786574 M852110:N852110 M917646:N917646 M983182:N983182" xr:uid="{00000000-0002-0000-0100-000031000000}">
      <formula1>4</formula1>
    </dataValidation>
    <dataValidation type="whole" imeMode="halfAlpha" allowBlank="1" showInputMessage="1" showErrorMessage="1" sqref="K983025:M983026 K65521:M65522 K131057:M131058 K196593:M196594 K262129:M262130 K327665:M327666 K393201:M393202 K458737:M458738 K524273:M524274 K589809:M589810 K655345:M655346 K720881:M720882 K786417:M786418 K851953:M851954 K917489:M917490" xr:uid="{00000000-0002-0000-0100-000032000000}">
      <formula1>2014</formula1>
      <formula2>2020</formula2>
    </dataValidation>
    <dataValidation type="whole" imeMode="halfAlpha" allowBlank="1" showInputMessage="1" showErrorMessage="1" sqref="AM65538:AN65539 AM131074:AN131075 AM196610:AN196611 AM262146:AN262147 AM327682:AN327683 AM393218:AN393219 AM458754:AN458755 AM524290:AN524291 AM589826:AN589827 AM655362:AN655363 AM720898:AN720899 AM786434:AN786435 AM851970:AN851971 AM917506:AN917507 AM983042:AN983043 N65534:O65534 N131070:O131070 N196606:O196606 N262142:O262142 N327678:O327678 N393214:O393214 N458750:O458750 N524286:O524286 N589822:O589822 N655358:O655358 N720894:O720894 N786430:O786430 N851966:O851966 N917502:O917502 N983038:O983038 Z65550 Z131086 Z196622 Z262158 Z327694 Z393230 Z458766 Z524302 Z589838 Z655374 Z720910 Z786446 Z851982 Z917518 Z983054 AQ65555 AQ131091 AQ196627 AQ262163 AQ327699 AQ393235 AQ458771 AQ524307 AQ589843 AQ655379 AQ720915 AQ786451 AQ851987 AQ917523 AQ983059 P65521:R65522 P131057:R131058 P196593:R196594 P262129:R262130 P327665:R327666 P393201:R393202 P458737:R458738 P524273:R524274 P589809:R589810 P655345:R655346 P720881:R720882 P786417:R786418 P851953:R851954 P917489:R917490 P983025:R983026" xr:uid="{00000000-0002-0000-0100-0000330000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51:AK65552 I131087:AK131088 I196623:AK196624 I262159:AK262160 I327695:AK327696 I393231:AK393232 I458767:AK458768 I524303:AK524304 I589839:AK589840 I655375:AK655376 I720911:AK720912 I786447:AK786448 I851983:AK851984 I917519:AK917520 I983055:AK983056" xr:uid="{00000000-0002-0000-0100-000034000000}"/>
    <dataValidation imeMode="fullKatakana" allowBlank="1" showInputMessage="1" showErrorMessage="1" sqref="I65526:AT65526 I131062:AT131062 I196598:AT196598 I262134:AT262134 I327670:AT327670 I393206:AT393206 I458742:AT458742 I524278:AT524278 I589814:AT589814 I655350:AT655350 I720886:AT720886 I786422:AT786422 I851958:AT851958 I917494:AT917494 I983030:AT983030 I65529:AT65529 I131065:AT131065 I196601:AT196601 I262137:AT262137 I327673:AT327673 I393209:AT393209 I458745:AT458745 I524281:AT524281 I589817:AT589817 I655353:AT655353 I720889:AT720889 I786425:AT786425 I851961:AT851961 I917497:AT917497 I983033:AT983033 I65537:Q65537 I131073:Q131073 I196609:Q196609 I262145:Q262145 I327681:Q327681 I393217:Q393217 I458753:Q458753 I524289:Q524289 I589825:Q589825 I655361:Q655361 I720897:Q720897 I786433:Q786433 I851969:Q851969 I917505:Q917505 I983041:Q983041 I65545:AA65545 I131081:AA131081 I196617:AA196617 I262153:AA262153 I327689:AA327689 I393225:AA393225 I458761:AA458761 I524297:AA524297 I589833:AA589833 I655369:AA655369 I720905:AA720905 I786441:AA786441 I851977:AA851977 I917513:AA917513 I983049:AA983049 I65669:Y65669 I131205:Y131205 I196741:Y196741 I262277:Y262277 I327813:Y327813 I393349:Y393349 I458885:Y458885 I524421:Y524421 I589957:Y589957 I655493:Y655493 I721029:Y721029 I786565:Y786565 I852101:Y852101 I917637:Y917637 I983173:Y983173 I65672:Y65672 I131208:Y131208 I196744:Y196744 I262280:Y262280 I327816:Y327816 I393352:Y393352 I458888:Y458888 I524424:Y524424 I589960:Y589960 I655496:Y655496 I721032:Y721032 I786568:Y786568 I852104:Y852104 I917640:Y917640 I983176:Y983176 I65675:Y65675 I131211:Y131211 I196747:Y196747 I262283:Y262283 I327819:Y327819 I393355:Y393355 I458891:Y458891 I524427:Y524427 I589963:Y589963 I655499:Y655499 I721035:Y721035 I786571:Y786571 I852107:Y852107 I917643:Y917643 I983179:Y983179" xr:uid="{00000000-0002-0000-0100-000035000000}"/>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48:AH65549 I131084:AH131085 I196620:AH196621 I262156:AH262157 I327692:AH327693 I393228:AH393229 I458764:AH458765 I524300:AH524301 I589836:AH589837 I655372:AH655373 I720908:AH720909 I786444:AH786445 I851980:AH851981 I917516:AH917517 I983052:AH983053" xr:uid="{00000000-0002-0000-0100-000036000000}"/>
    <dataValidation type="list" allowBlank="1" showInputMessage="1" showErrorMessage="1" sqref="C983078:I983078 C917542:I917542 C852006:I852006 C786470:I786470 C720934:I720934 C655398:I655398 C589862:I589862 C524326:I524326 C458790:I458790 C393254:I393254 C327718:I327718 C262182:I262182 C196646:I196646 C131110:I131110 C65574:I65574" xr:uid="{00000000-0002-0000-0100-000037000000}">
      <formula1>$CF$15:$CF$16</formula1>
    </dataValidation>
    <dataValidation type="list" allowBlank="1" showInputMessage="1" showErrorMessage="1" sqref="C983069:I983069 C917533:I917533 C851997:I851997 C786461:I786461 C720925:I720925 C655389:I655389 C589853:I589853 C524317:I524317 C458781:I458781 C393245:I393245 C327709:I327709 C262173:I262173 C196637:I196637 C131101:I131101 C65565:I65565" xr:uid="{00000000-0002-0000-0100-000038000000}">
      <formula1>$CF$11:$CF$12</formula1>
    </dataValidation>
    <dataValidation type="textLength" imeMode="halfAlpha" operator="greaterThanOrEqual" allowBlank="1" showInputMessage="1" showErrorMessage="1" sqref="AB65555:AH65555 AB131091:AH131091 AB196627:AH196627 AB262163:AH262163 AB327699:AH327699 AB393235:AH393235 AB458771:AH458771 AB524307:AH524307 AB589843:AH589843 AB655379:AH655379 AB720915:AH720915 AB786451:AH786451 AB851987:AH851987 AB917523:AH917523 AB983059:AH983059" xr:uid="{00000000-0002-0000-0100-000039000000}">
      <formula1>1</formula1>
    </dataValidation>
    <dataValidation type="list" allowBlank="1" showInputMessage="1" showErrorMessage="1" sqref="C983079:I983079 C917543:I917543 C852007:I852007 C786471:I786471 C720935:I720935 C655399:I655399 C589863:I589863 C524327:I524327 C458791:I458791 C393255:I393255 C327719:I327719 C262183:I262183 C196647:I196647 C131111:I131111 C65575:I65575" xr:uid="{00000000-0002-0000-0100-00003A000000}">
      <formula1>$CF$18:$CF$22</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01:AJ983101 AG65597:AJ65597 AG131133:AJ131133 AG196669:AJ196669 AG262205:AJ262205 AG327741:AJ327741 AG393277:AJ393277 AG458813:AJ458813 AG524349:AJ524349 AG589885:AJ589885 AG655421:AJ655421 AG720957:AJ720957 AG786493:AJ786493 AG852029:AJ852029 AG917565:AJ917565" xr:uid="{00000000-0002-0000-0100-00003B00000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01:AF983101 AC65597:AF65597 AC131133:AF131133 AC196669:AF196669 AC262205:AF262205 AC327741:AF327741 AC393277:AF393277 AC458813:AF458813 AC524349:AF524349 AC589885:AF589885 AC655421:AF655421 AC720957:AF720957 AC786493:AF786493 AC852029:AF852029 AC917565:AF917565" xr:uid="{00000000-0002-0000-0100-00003C000000}">
      <formula1>#REF!</formula1>
    </dataValidation>
    <dataValidation imeMode="hiragana" allowBlank="1" showInputMessage="1" showErrorMessage="1" promptTitle="会社所在地" prompt="都道府県名からご記入下さい" sqref="I65531:AT65532 I131067:AT131068 I196603:AT196604 I262139:AT262140 I327675:AT327676 I393211:AT393212 I458747:AT458748 I524283:AT524284 I589819:AT589820 I655355:AT655356 I720891:AT720892 I786427:AT786428 I851963:AT851964 I917499:AT917500 I983035:AT983036" xr:uid="{00000000-0002-0000-0100-00003D000000}"/>
    <dataValidation type="whole" imeMode="halfAlpha" allowBlank="1" showInputMessage="1" showErrorMessage="1" sqref="Q65534:R65534 Q131070:R131070 Q196606:R196606 Q262142:R262142 Q327678:R327678 Q393214:R393214 Q458750:R458750 Q524286:R524286 Q589822:R589822 Q655358:R655358 Q720894:R720894 Q786430:R786430 Q851966:R851966 Q917502:R917502 Q983038:R983038 AB65550 AB131086 AB196622 AB262158 AB327694 AB393230 AB458766 AB524302 AB589838 AB655374 AB720910 AB786446 AB851982 AB917518 AB983054 AS65555 AS131091 AS196627 AS262163 AS327699 AS393235 AS458771 AS524307 AS589843 AS655379 AS720915 AS786451 AS851987 AS917523 AS983059 U65521:W65522 U131057:W131058 U196593:W196594 U262129:W262130 U327665:W327666 U393201:W393202 U458737:W458738 U524273:W524274 U589809:W589810 U655345:W655346 U720881:W720882 U786417:W786418 U851953:W851954 U917489:W917490 U983025:W983026" xr:uid="{00000000-0002-0000-0100-00003E000000}">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46:AA65547 I131082:AA131083 I196618:AA196619 I262154:AA262155 I327690:AA327691 I393226:AA393227 I458762:AA458763 I524298:AA524299 I589834:AA589835 I655370:AA655371 I720906:AA720907 I786442:AA786443 I851978:AA851979 I917514:AA917515 I983050:AA983051" xr:uid="{00000000-0002-0000-0100-00003F000000}">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43:AT65544 I131079:AT131080 I196615:AT196616 I262151:AT262152 I327687:AT327688 I393223:AT393224 I458759:AT458760 I524295:AT524296 I589831:AT589832 I655367:AT655368 I720903:AT720904 I786439:AT786440 I851975:AT851976 I917511:AT917512 I983047:AT983048" xr:uid="{00000000-0002-0000-0100-000040000000}">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92:AT65693 I131228:AT131229 I196764:AT196765 I262300:AT262301 I327836:AT327837 I393372:AT393373 I458908:AT458909 I524444:AT524445 I589980:AT589981 I655516:AT655517 I721052:AT721053 I786588:AT786589 I852124:AT852125 I917660:AT917661 I983196:AT983197" xr:uid="{00000000-0002-0000-0100-000041000000}"/>
    <dataValidation imeMode="hiragana" allowBlank="1" showInputMessage="1" showErrorMessage="1" promptTitle="売上報告担当" prompt="収納レポートやご請求書の送付先となります。" sqref="I65676:Y65677 I131212:Y131213 I196748:Y196749 I262284:Y262285 I327820:Y327821 I393356:Y393357 I458892:Y458893 I524428:Y524429 I589964:Y589965 I655500:Y655501 I721036:Y721037 I786572:Y786573 I852108:Y852109 I917644:Y917645 I983180:Y983181" xr:uid="{00000000-0002-0000-0100-000042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73:Y65674 I131209:Y131210 I196745:Y196746 I262281:Y262282 I327817:Y327818 I393353:Y393354 I458889:Y458890 I524425:Y524426 I589961:Y589962 I655497:Y655498 I721033:Y721034 I786569:Y786570 I852105:Y852106 I917641:Y917642 I983177:Y983178" xr:uid="{00000000-0002-0000-0100-000043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70:Y65671 I131206:Y131207 I196742:Y196743 I262278:Y262279 I327814:Y327815 I393350:Y393351 I458886:Y458887 I524422:Y524423 I589958:Y589959 I655494:Y655495 I721030:Y721031 I786566:Y786567 I852102:Y852103 I917638:Y917639 I983174:Y983175" xr:uid="{00000000-0002-0000-0100-000044000000}"/>
    <dataValidation imeMode="halfAlpha" allowBlank="1" showInputMessage="1" showErrorMessage="1" prompt="特商法ページのURLを記載して下さい。_x000a_その際、http://やhttps://を省略しないようお願いいたします。" sqref="I983201:AI983201 I65697:AI65697 I131233:AI131233 I196769:AI196769 I262305:AI262305 I327841:AI327841 I393377:AI393377 I458913:AI458913 I524449:AI524449 I589985:AI589985 I655521:AI655521 I721057:AI721057 I786593:AI786593 I852129:AI852129 I917665:AI917665" xr:uid="{00000000-0002-0000-0100-000045000000}"/>
    <dataValidation type="list" allowBlank="1" showInputMessage="1" showErrorMessage="1" sqref="O983069:P983072 O917533:P917536 O851997:P852000 O786461:P786464 O720925:P720928 O655389:P655392 O589853:P589856 O524317:P524320 O458781:P458784 O393245:P393248 O327709:P327712 O262173:P262176 O196637:P196640 O131101:P131104 O65565:P65568" xr:uid="{00000000-0002-0000-0100-000046000000}">
      <formula1>$CF$32:$CF$33</formula1>
    </dataValidation>
    <dataValidation type="list" allowBlank="1" showInputMessage="1" showErrorMessage="1" sqref="C65578:I65578 C131114:I131114 C196650:I196650 C262186:I262186 C327722:I327722 C393258:I393258 C458794:I458794 C524330:I524330 C589866:I589866 C655402:I655402 C720938:I720938 C786474:I786474 C852010:I852010 C917546:I917546 C983082:I983082 I65504 I131040 I262112 I196576 I983008 I917472 I851936 I786400 I720864 I655328 I589792 I524256 I458720 I393184 I327648" xr:uid="{00000000-0002-0000-0100-000047000000}">
      <formula1>#REF!</formula1>
    </dataValidation>
    <dataValidation type="whole" imeMode="halfAlpha" allowBlank="1" showInputMessage="1" showErrorMessage="1" sqref="W65550:X65550 W131086:X131086 W196622:X196622 W262158:X262158 W327694:X327694 W393230:X393230 W458766:X458766 W524302:X524302 W589838:X589838 W655374:X655374 W720910:X720910 W786446:X786446 W851982:X851982 W917518:X917518 W983054:X983054" xr:uid="{00000000-0002-0000-0100-000048000000}">
      <formula1>2014</formula1>
      <formula2>2099</formula2>
    </dataValidation>
    <dataValidation type="whole" imeMode="halfAlpha" allowBlank="1" showInputMessage="1" showErrorMessage="1" sqref="AN65555:AO65555 AN131091:AO131091 AN196627:AO196627 AN262163:AO262163 AN327699:AO327699 AN393235:AO393235 AN458771:AO458771 AN524307:AO524307 AN589843:AO589843 AN655379:AO655379 AN720915:AO720915 AN786451:AO786451 AN851987:AO851987 AN917523:AO917523 AN983059:AO983059" xr:uid="{00000000-0002-0000-0100-000049000000}">
      <formula1>1000</formula1>
      <formula2>2099</formula2>
    </dataValidation>
    <dataValidation type="textLength" imeMode="halfAlpha" operator="equal" allowBlank="1" showInputMessage="1" showErrorMessage="1" sqref="AG65503:AK65503 AG131039:AK131039 AG196575:AK196575 AG262111:AK262111 AG327647:AK327647 AG393183:AK393183 AG458719:AK458719 AG524255:AK524255 AG589791:AK589791 AG655327:AK655327 AG720863:AK720863 AG786399:AK786399 AG851935:AK851935 AG917471:AK917471 AG983007:AK983007" xr:uid="{00000000-0002-0000-0100-00004A000000}">
      <formula1>7</formula1>
    </dataValidation>
    <dataValidation type="list" allowBlank="1" showInputMessage="1" showErrorMessage="1" sqref="AA76:AL76" xr:uid="{00000000-0002-0000-0100-00004B000000}">
      <formula1>INDIRECT("メルペイ"&amp;$AW$76)</formula1>
    </dataValidation>
    <dataValidation type="list" allowBlank="1" showInputMessage="1" showErrorMessage="1" sqref="AS75:AT75" xr:uid="{00000000-0002-0000-0100-00004C000000}">
      <formula1>"0:無,1:有"</formula1>
    </dataValidation>
    <dataValidation type="list" allowBlank="1" showInputMessage="1" showErrorMessage="1" sqref="O76:X76" xr:uid="{00000000-0002-0000-0100-00004D000000}">
      <formula1>メルペイ業種</formula1>
    </dataValidation>
    <dataValidation type="whole" imeMode="disabled" allowBlank="1" showInputMessage="1" showErrorMessage="1" sqref="AP4:AT4" xr:uid="{00000000-0002-0000-0100-00004E000000}">
      <formula1>1000</formula1>
      <formula2>9999</formula2>
    </dataValidation>
    <dataValidation type="custom" imeMode="disabled" allowBlank="1" showInputMessage="1" showErrorMessage="1" errorTitle="電話番号" error="半角でご入力下さい。_x000a_ハイフンもご入力下さい。" sqref="AK152:AT152" xr:uid="{00000000-0002-0000-0100-00004F000000}">
      <formula1>IF(AND(COUNTIF(AK152,"*-*-*")&gt;0,ISNUMBER(VALUE(SUBSTITUTE(AK152,"-",""))),LENB(AK152)&lt;14,LENB(AK152)&gt;9),TRUE,FALSE)</formula1>
    </dataValidation>
    <dataValidation type="textLength" imeMode="disabled" operator="equal" allowBlank="1" showInputMessage="1" showErrorMessage="1" sqref="AE152:AF152" xr:uid="{00000000-0002-0000-0100-000050000000}">
      <formula1>4</formula1>
    </dataValidation>
    <dataValidation type="textLength" imeMode="disabled" operator="equal" allowBlank="1" showInputMessage="1" showErrorMessage="1" sqref="AB152:AC152" xr:uid="{00000000-0002-0000-0100-000051000000}">
      <formula1>3</formula1>
    </dataValidation>
    <dataValidation type="list" allowBlank="1" showInputMessage="1" showErrorMessage="1" sqref="Q51:X51" xr:uid="{00000000-0002-0000-0100-000052000000}">
      <formula1>JKOPAY商品1</formula1>
    </dataValidation>
    <dataValidation type="list" allowBlank="1" showInputMessage="1" showErrorMessage="1" error="小数第二位までとなります。" sqref="AA51:AJ51" xr:uid="{00000000-0002-0000-0100-000053000000}">
      <formula1>INDIRECT("JKOPAY"&amp;$AV$51)</formula1>
    </dataValidation>
    <dataValidation type="list" allowBlank="1" showInputMessage="1" showErrorMessage="1" sqref="O72:X72" xr:uid="{00000000-0002-0000-0100-000054000000}">
      <formula1>auPAY業種</formula1>
    </dataValidation>
    <dataValidation operator="greaterThanOrEqual" allowBlank="1" showInputMessage="1" showErrorMessage="1" sqref="Q159:AB159" xr:uid="{00000000-0002-0000-0100-000055000000}"/>
    <dataValidation type="list" allowBlank="1" showInputMessage="1" showErrorMessage="1" sqref="O64:X64" xr:uid="{00000000-0002-0000-0100-000056000000}">
      <formula1>楽天ペイ大項目</formula1>
    </dataValidation>
    <dataValidation type="list" allowBlank="1" showInputMessage="1" showErrorMessage="1" sqref="Q61:X61" xr:uid="{00000000-0002-0000-0100-000057000000}">
      <formula1>商品1</formula1>
    </dataValidation>
    <dataValidation type="list" allowBlank="1" showInputMessage="1" showErrorMessage="1" sqref="AA61:AS61" xr:uid="{00000000-0002-0000-0100-000058000000}">
      <formula1>INDIRECT($AW$41)</formula1>
    </dataValidation>
    <dataValidation type="list" allowBlank="1" showInputMessage="1" showErrorMessage="1" sqref="AA64:AL64" xr:uid="{00000000-0002-0000-0100-000059000000}">
      <formula1>INDIRECT("楽天ペイ"&amp;$AV$45)</formula1>
    </dataValidation>
    <dataValidation type="list" allowBlank="1" showInputMessage="1" showErrorMessage="1" sqref="AS80:AT80" xr:uid="{00000000-0002-0000-0100-00005A000000}">
      <formula1>"包括,業代,取次,直接"</formula1>
    </dataValidation>
    <dataValidation type="list" allowBlank="1" showInputMessage="1" showErrorMessage="1" sqref="O79:V79" xr:uid="{00000000-0002-0000-0100-00005B000000}">
      <formula1>JCoin業種</formula1>
    </dataValidation>
    <dataValidation type="list" allowBlank="1" showInputMessage="1" showErrorMessage="1" sqref="AS78:AT78 AS18:AT18 AS29:AT34" xr:uid="{00000000-0002-0000-0100-00005C000000}">
      <formula1>"包括,直接"</formula1>
    </dataValidation>
    <dataValidation type="list" allowBlank="1" showInputMessage="1" showErrorMessage="1" sqref="AA79:AH79" xr:uid="{00000000-0002-0000-0100-00005D000000}">
      <formula1>INDIRECT("JCoin"&amp;$AV$60)</formula1>
    </dataValidation>
    <dataValidation type="list" allowBlank="1" showInputMessage="1" showErrorMessage="1" sqref="AN29:AO29" xr:uid="{00000000-0002-0000-0100-00005E000000}">
      <formula1>"JCB,西武鉄道,東急電鉄,東京都交通局,東武鉄道,京成電鉄,JR西日本,JR東日本,JR東海"</formula1>
    </dataValidation>
    <dataValidation type="list" allowBlank="1" showInputMessage="1" showErrorMessage="1" sqref="AN30:AO30" xr:uid="{00000000-0002-0000-0100-00005F000000}">
      <formula1>"JCB,楽天"</formula1>
    </dataValidation>
    <dataValidation type="list" allowBlank="1" showInputMessage="1" showErrorMessage="1" sqref="AN32:AO32" xr:uid="{00000000-0002-0000-0100-000060000000}">
      <formula1>"JCB,イオン"</formula1>
    </dataValidation>
    <dataValidation type="list" allowBlank="1" showInputMessage="1" showErrorMessage="1" sqref="AR44:AT44" xr:uid="{00000000-0002-0000-0100-000061000000}">
      <formula1>"直接接続,電文変換"</formula1>
    </dataValidation>
  </dataValidations>
  <printOptions horizontalCentered="1" verticalCentered="1"/>
  <pageMargins left="0" right="0" top="0" bottom="0" header="0" footer="0"/>
  <pageSetup paperSize="9" scale="2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11</xdr:col>
                    <xdr:colOff>184150</xdr:colOff>
                    <xdr:row>20</xdr:row>
                    <xdr:rowOff>12700</xdr:rowOff>
                  </from>
                  <to>
                    <xdr:col>13</xdr:col>
                    <xdr:colOff>19050</xdr:colOff>
                    <xdr:row>20</xdr:row>
                    <xdr:rowOff>222250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11</xdr:col>
                    <xdr:colOff>184150</xdr:colOff>
                    <xdr:row>21</xdr:row>
                    <xdr:rowOff>12700</xdr:rowOff>
                  </from>
                  <to>
                    <xdr:col>13</xdr:col>
                    <xdr:colOff>19050</xdr:colOff>
                    <xdr:row>21</xdr:row>
                    <xdr:rowOff>222250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11</xdr:col>
                    <xdr:colOff>184150</xdr:colOff>
                    <xdr:row>22</xdr:row>
                    <xdr:rowOff>12700</xdr:rowOff>
                  </from>
                  <to>
                    <xdr:col>13</xdr:col>
                    <xdr:colOff>19050</xdr:colOff>
                    <xdr:row>22</xdr:row>
                    <xdr:rowOff>222250</xdr:rowOff>
                  </to>
                </anchor>
              </controlPr>
            </control>
          </mc:Choice>
        </mc:AlternateContent>
        <mc:AlternateContent xmlns:mc="http://schemas.openxmlformats.org/markup-compatibility/2006">
          <mc:Choice Requires="x14">
            <control shapeId="89093" r:id="rId7" name="Check Box 5">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89094" r:id="rId8" name="Check Box 6">
              <controlPr defaultSize="0" autoFill="0" autoLine="0" autoPict="0">
                <anchor moveWithCells="1">
                  <from>
                    <xdr:col>9</xdr:col>
                    <xdr:colOff>146050</xdr:colOff>
                    <xdr:row>17</xdr:row>
                    <xdr:rowOff>31750</xdr:rowOff>
                  </from>
                  <to>
                    <xdr:col>10</xdr:col>
                    <xdr:colOff>247650</xdr:colOff>
                    <xdr:row>17</xdr:row>
                    <xdr:rowOff>241300</xdr:rowOff>
                  </to>
                </anchor>
              </controlPr>
            </control>
          </mc:Choice>
        </mc:AlternateContent>
        <mc:AlternateContent xmlns:mc="http://schemas.openxmlformats.org/markup-compatibility/2006">
          <mc:Choice Requires="x14">
            <control shapeId="89097" r:id="rId9" name="Check Box 9">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89098" r:id="rId10" name="Check Box 10">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89099" r:id="rId11" name="Check Box 11">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89100" r:id="rId12" name="Check Box 12">
              <controlPr defaultSize="0" autoFill="0" autoLine="0" autoPict="0">
                <anchor moveWithCells="1">
                  <from>
                    <xdr:col>9</xdr:col>
                    <xdr:colOff>171450</xdr:colOff>
                    <xdr:row>31</xdr:row>
                    <xdr:rowOff>19050</xdr:rowOff>
                  </from>
                  <to>
                    <xdr:col>11</xdr:col>
                    <xdr:colOff>19050</xdr:colOff>
                    <xdr:row>31</xdr:row>
                    <xdr:rowOff>228600</xdr:rowOff>
                  </to>
                </anchor>
              </controlPr>
            </control>
          </mc:Choice>
        </mc:AlternateContent>
        <mc:AlternateContent xmlns:mc="http://schemas.openxmlformats.org/markup-compatibility/2006">
          <mc:Choice Requires="x14">
            <control shapeId="89101" r:id="rId13" name="Check Box 13">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89107" r:id="rId14" name="Group Box 1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16" r:id="rId15" name="Group Box 2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22" r:id="rId16" name="Group Box 34">
              <controlPr defaultSize="0" autoFill="0" autoPict="0">
                <anchor moveWithCells="1">
                  <from>
                    <xdr:col>28</xdr:col>
                    <xdr:colOff>12700</xdr:colOff>
                    <xdr:row>33</xdr:row>
                    <xdr:rowOff>0</xdr:rowOff>
                  </from>
                  <to>
                    <xdr:col>36</xdr:col>
                    <xdr:colOff>127000</xdr:colOff>
                    <xdr:row>39</xdr:row>
                    <xdr:rowOff>31750</xdr:rowOff>
                  </to>
                </anchor>
              </controlPr>
            </control>
          </mc:Choice>
        </mc:AlternateContent>
        <mc:AlternateContent xmlns:mc="http://schemas.openxmlformats.org/markup-compatibility/2006">
          <mc:Choice Requires="x14">
            <control shapeId="89124" r:id="rId17" name="Group Box 36">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63" r:id="rId18" name="Check Box 75">
              <controlPr defaultSize="0" autoFill="0" autoLine="0" autoPict="0">
                <anchor moveWithCells="1">
                  <from>
                    <xdr:col>9</xdr:col>
                    <xdr:colOff>146050</xdr:colOff>
                    <xdr:row>17</xdr:row>
                    <xdr:rowOff>12700</xdr:rowOff>
                  </from>
                  <to>
                    <xdr:col>10</xdr:col>
                    <xdr:colOff>247650</xdr:colOff>
                    <xdr:row>17</xdr:row>
                    <xdr:rowOff>228600</xdr:rowOff>
                  </to>
                </anchor>
              </controlPr>
            </control>
          </mc:Choice>
        </mc:AlternateContent>
        <mc:AlternateContent xmlns:mc="http://schemas.openxmlformats.org/markup-compatibility/2006">
          <mc:Choice Requires="x14">
            <control shapeId="89165" r:id="rId19" name="Check Box 77">
              <controlPr defaultSize="0" autoFill="0" autoLine="0" autoPict="0">
                <anchor moveWithCells="1">
                  <from>
                    <xdr:col>9</xdr:col>
                    <xdr:colOff>146050</xdr:colOff>
                    <xdr:row>15</xdr:row>
                    <xdr:rowOff>133350</xdr:rowOff>
                  </from>
                  <to>
                    <xdr:col>10</xdr:col>
                    <xdr:colOff>247650</xdr:colOff>
                    <xdr:row>16</xdr:row>
                    <xdr:rowOff>107950</xdr:rowOff>
                  </to>
                </anchor>
              </controlPr>
            </control>
          </mc:Choice>
        </mc:AlternateContent>
        <mc:AlternateContent xmlns:mc="http://schemas.openxmlformats.org/markup-compatibility/2006">
          <mc:Choice Requires="x14">
            <control shapeId="89166" r:id="rId20" name="Group Box 78">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7" r:id="rId21" name="Group Box 79">
              <controlPr defaultSize="0" autoFill="0" autoPict="0">
                <anchor moveWithCells="1">
                  <from>
                    <xdr:col>14</xdr:col>
                    <xdr:colOff>57150</xdr:colOff>
                    <xdr:row>33</xdr:row>
                    <xdr:rowOff>0</xdr:rowOff>
                  </from>
                  <to>
                    <xdr:col>24</xdr:col>
                    <xdr:colOff>38100</xdr:colOff>
                    <xdr:row>39</xdr:row>
                    <xdr:rowOff>241300</xdr:rowOff>
                  </to>
                </anchor>
              </controlPr>
            </control>
          </mc:Choice>
        </mc:AlternateContent>
        <mc:AlternateContent xmlns:mc="http://schemas.openxmlformats.org/markup-compatibility/2006">
          <mc:Choice Requires="x14">
            <control shapeId="89168" r:id="rId22" name="Group Box 80">
              <controlPr defaultSize="0" autoFill="0" autoPict="0">
                <anchor moveWithCells="1">
                  <from>
                    <xdr:col>28</xdr:col>
                    <xdr:colOff>12700</xdr:colOff>
                    <xdr:row>33</xdr:row>
                    <xdr:rowOff>0</xdr:rowOff>
                  </from>
                  <to>
                    <xdr:col>36</xdr:col>
                    <xdr:colOff>127000</xdr:colOff>
                    <xdr:row>39</xdr:row>
                    <xdr:rowOff>19050</xdr:rowOff>
                  </to>
                </anchor>
              </controlPr>
            </control>
          </mc:Choice>
        </mc:AlternateContent>
        <mc:AlternateContent xmlns:mc="http://schemas.openxmlformats.org/markup-compatibility/2006">
          <mc:Choice Requires="x14">
            <control shapeId="89169" r:id="rId23" name="Group Box 81">
              <controlPr defaultSize="0" autoFill="0" autoPict="0">
                <anchor moveWithCells="1">
                  <from>
                    <xdr:col>14</xdr:col>
                    <xdr:colOff>57150</xdr:colOff>
                    <xdr:row>33</xdr:row>
                    <xdr:rowOff>0</xdr:rowOff>
                  </from>
                  <to>
                    <xdr:col>22</xdr:col>
                    <xdr:colOff>190500</xdr:colOff>
                    <xdr:row>39</xdr:row>
                    <xdr:rowOff>152400</xdr:rowOff>
                  </to>
                </anchor>
              </controlPr>
            </control>
          </mc:Choice>
        </mc:AlternateContent>
        <mc:AlternateContent xmlns:mc="http://schemas.openxmlformats.org/markup-compatibility/2006">
          <mc:Choice Requires="x14">
            <control shapeId="89170" r:id="rId24" name="Check Box 82">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9171" r:id="rId25" name="Check Box 83">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9172" r:id="rId26" name="Check Box 8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9173" r:id="rId27" name="Check Box 8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9174" r:id="rId28" name="Check Box 86">
              <controlPr defaultSize="0" autoFill="0" autoLine="0" autoPict="0">
                <anchor moveWithCells="1">
                  <from>
                    <xdr:col>9</xdr:col>
                    <xdr:colOff>171450</xdr:colOff>
                    <xdr:row>46</xdr:row>
                    <xdr:rowOff>152400</xdr:rowOff>
                  </from>
                  <to>
                    <xdr:col>11</xdr:col>
                    <xdr:colOff>19050</xdr:colOff>
                    <xdr:row>47</xdr:row>
                    <xdr:rowOff>114300</xdr:rowOff>
                  </to>
                </anchor>
              </controlPr>
            </control>
          </mc:Choice>
        </mc:AlternateContent>
        <mc:AlternateContent xmlns:mc="http://schemas.openxmlformats.org/markup-compatibility/2006">
          <mc:Choice Requires="x14">
            <control shapeId="89175" r:id="rId29" name="Check Box 87">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177" r:id="rId30" name="Check Box 89">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89180" r:id="rId31" name="Group Box 92">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9181" r:id="rId32" name="Option Button 93">
              <controlPr defaultSize="0" autoFill="0" autoLine="0" autoPict="0">
                <anchor moveWithCells="1">
                  <from>
                    <xdr:col>28</xdr:col>
                    <xdr:colOff>133350</xdr:colOff>
                    <xdr:row>71</xdr:row>
                    <xdr:rowOff>19050</xdr:rowOff>
                  </from>
                  <to>
                    <xdr:col>31</xdr:col>
                    <xdr:colOff>190500</xdr:colOff>
                    <xdr:row>71</xdr:row>
                    <xdr:rowOff>222250</xdr:rowOff>
                  </to>
                </anchor>
              </controlPr>
            </control>
          </mc:Choice>
        </mc:AlternateContent>
        <mc:AlternateContent xmlns:mc="http://schemas.openxmlformats.org/markup-compatibility/2006">
          <mc:Choice Requires="x14">
            <control shapeId="89182" r:id="rId33" name="Option Button 94">
              <controlPr defaultSize="0" autoFill="0" autoLine="0" autoPict="0">
                <anchor moveWithCells="1">
                  <from>
                    <xdr:col>33</xdr:col>
                    <xdr:colOff>38100</xdr:colOff>
                    <xdr:row>71</xdr:row>
                    <xdr:rowOff>19050</xdr:rowOff>
                  </from>
                  <to>
                    <xdr:col>36</xdr:col>
                    <xdr:colOff>95250</xdr:colOff>
                    <xdr:row>71</xdr:row>
                    <xdr:rowOff>222250</xdr:rowOff>
                  </to>
                </anchor>
              </controlPr>
            </control>
          </mc:Choice>
        </mc:AlternateContent>
        <mc:AlternateContent xmlns:mc="http://schemas.openxmlformats.org/markup-compatibility/2006">
          <mc:Choice Requires="x14">
            <control shapeId="89183" r:id="rId34" name="Option Button 95">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9184" r:id="rId35" name="Check Box 96">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89185" r:id="rId36" name="Check Box 97">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6" r:id="rId37" name="Group Box 98">
              <controlPr defaultSize="0" autoFill="0" autoPict="0">
                <anchor moveWithCells="1">
                  <from>
                    <xdr:col>14</xdr:col>
                    <xdr:colOff>38100</xdr:colOff>
                    <xdr:row>76</xdr:row>
                    <xdr:rowOff>0</xdr:rowOff>
                  </from>
                  <to>
                    <xdr:col>23</xdr:col>
                    <xdr:colOff>241300</xdr:colOff>
                    <xdr:row>78</xdr:row>
                    <xdr:rowOff>19050</xdr:rowOff>
                  </to>
                </anchor>
              </controlPr>
            </control>
          </mc:Choice>
        </mc:AlternateContent>
        <mc:AlternateContent xmlns:mc="http://schemas.openxmlformats.org/markup-compatibility/2006">
          <mc:Choice Requires="x14">
            <control shapeId="89187" r:id="rId38" name="Check Box 99">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89188" r:id="rId39" name="Check Box 100">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189" r:id="rId40" name="Group Box 101">
              <controlPr defaultSize="0" autoFill="0" autoPict="0">
                <anchor moveWithCells="1">
                  <from>
                    <xdr:col>14</xdr:col>
                    <xdr:colOff>38100</xdr:colOff>
                    <xdr:row>76</xdr:row>
                    <xdr:rowOff>0</xdr:rowOff>
                  </from>
                  <to>
                    <xdr:col>23</xdr:col>
                    <xdr:colOff>241300</xdr:colOff>
                    <xdr:row>78</xdr:row>
                    <xdr:rowOff>19050</xdr:rowOff>
                  </to>
                </anchor>
              </controlPr>
            </control>
          </mc:Choice>
        </mc:AlternateContent>
        <mc:AlternateContent xmlns:mc="http://schemas.openxmlformats.org/markup-compatibility/2006">
          <mc:Choice Requires="x14">
            <control shapeId="89192" r:id="rId41" name="Group Box 104">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89193" r:id="rId42" name="Option Button 105">
              <controlPr defaultSize="0" autoFill="0" autoLine="0" autoPict="0">
                <anchor moveWithCells="1">
                  <from>
                    <xdr:col>28</xdr:col>
                    <xdr:colOff>127000</xdr:colOff>
                    <xdr:row>65</xdr:row>
                    <xdr:rowOff>19050</xdr:rowOff>
                  </from>
                  <to>
                    <xdr:col>31</xdr:col>
                    <xdr:colOff>241300</xdr:colOff>
                    <xdr:row>65</xdr:row>
                    <xdr:rowOff>222250</xdr:rowOff>
                  </to>
                </anchor>
              </controlPr>
            </control>
          </mc:Choice>
        </mc:AlternateContent>
        <mc:AlternateContent xmlns:mc="http://schemas.openxmlformats.org/markup-compatibility/2006">
          <mc:Choice Requires="x14">
            <control shapeId="89194" r:id="rId43" name="Option Button 106">
              <controlPr defaultSize="0" autoFill="0" autoLine="0" autoPict="0">
                <anchor moveWithCells="1">
                  <from>
                    <xdr:col>32</xdr:col>
                    <xdr:colOff>107950</xdr:colOff>
                    <xdr:row>65</xdr:row>
                    <xdr:rowOff>19050</xdr:rowOff>
                  </from>
                  <to>
                    <xdr:col>35</xdr:col>
                    <xdr:colOff>222250</xdr:colOff>
                    <xdr:row>65</xdr:row>
                    <xdr:rowOff>222250</xdr:rowOff>
                  </to>
                </anchor>
              </controlPr>
            </control>
          </mc:Choice>
        </mc:AlternateContent>
        <mc:AlternateContent xmlns:mc="http://schemas.openxmlformats.org/markup-compatibility/2006">
          <mc:Choice Requires="x14">
            <control shapeId="89195" r:id="rId44" name="Group Box 107">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198" r:id="rId45" name="Group Box 110">
              <controlPr defaultSize="0" autoFill="0" autoPict="0">
                <anchor moveWithCells="1">
                  <from>
                    <xdr:col>14</xdr:col>
                    <xdr:colOff>31750</xdr:colOff>
                    <xdr:row>80</xdr:row>
                    <xdr:rowOff>247650</xdr:rowOff>
                  </from>
                  <to>
                    <xdr:col>23</xdr:col>
                    <xdr:colOff>222250</xdr:colOff>
                    <xdr:row>82</xdr:row>
                    <xdr:rowOff>0</xdr:rowOff>
                  </to>
                </anchor>
              </controlPr>
            </control>
          </mc:Choice>
        </mc:AlternateContent>
        <mc:AlternateContent xmlns:mc="http://schemas.openxmlformats.org/markup-compatibility/2006">
          <mc:Choice Requires="x14">
            <control shapeId="89199" r:id="rId46" name="Option Button 111">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89200" r:id="rId47" name="Option Button 112">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89201" r:id="rId48" name="Group Box 113">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04" r:id="rId49" name="Group Box 116">
              <controlPr defaultSize="0" autoFill="0" autoPict="0">
                <anchor moveWithCells="1">
                  <from>
                    <xdr:col>16</xdr:col>
                    <xdr:colOff>31750</xdr:colOff>
                    <xdr:row>153</xdr:row>
                    <xdr:rowOff>0</xdr:rowOff>
                  </from>
                  <to>
                    <xdr:col>27</xdr:col>
                    <xdr:colOff>241300</xdr:colOff>
                    <xdr:row>153</xdr:row>
                    <xdr:rowOff>241300</xdr:rowOff>
                  </to>
                </anchor>
              </controlPr>
            </control>
          </mc:Choice>
        </mc:AlternateContent>
        <mc:AlternateContent xmlns:mc="http://schemas.openxmlformats.org/markup-compatibility/2006">
          <mc:Choice Requires="x14">
            <control shapeId="89205" r:id="rId50" name="Option Button 117">
              <controlPr defaultSize="0" autoFill="0" autoLine="0" autoPict="0">
                <anchor moveWithCells="1">
                  <from>
                    <xdr:col>16</xdr:col>
                    <xdr:colOff>222250</xdr:colOff>
                    <xdr:row>153</xdr:row>
                    <xdr:rowOff>0</xdr:rowOff>
                  </from>
                  <to>
                    <xdr:col>20</xdr:col>
                    <xdr:colOff>165100</xdr:colOff>
                    <xdr:row>153</xdr:row>
                    <xdr:rowOff>241300</xdr:rowOff>
                  </to>
                </anchor>
              </controlPr>
            </control>
          </mc:Choice>
        </mc:AlternateContent>
        <mc:AlternateContent xmlns:mc="http://schemas.openxmlformats.org/markup-compatibility/2006">
          <mc:Choice Requires="x14">
            <control shapeId="89206" r:id="rId51" name="Option Button 11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89207" r:id="rId52" name="Group Box 119">
              <controlPr defaultSize="0" autoFill="0" autoPict="0">
                <anchor moveWithCells="1">
                  <from>
                    <xdr:col>16</xdr:col>
                    <xdr:colOff>31750</xdr:colOff>
                    <xdr:row>155</xdr:row>
                    <xdr:rowOff>12700</xdr:rowOff>
                  </from>
                  <to>
                    <xdr:col>27</xdr:col>
                    <xdr:colOff>241300</xdr:colOff>
                    <xdr:row>156</xdr:row>
                    <xdr:rowOff>0</xdr:rowOff>
                  </to>
                </anchor>
              </controlPr>
            </control>
          </mc:Choice>
        </mc:AlternateContent>
        <mc:AlternateContent xmlns:mc="http://schemas.openxmlformats.org/markup-compatibility/2006">
          <mc:Choice Requires="x14">
            <control shapeId="89208" r:id="rId53" name="Option Button 120">
              <controlPr defaultSize="0" autoFill="0" autoLine="0" autoPict="0">
                <anchor moveWithCells="1">
                  <from>
                    <xdr:col>16</xdr:col>
                    <xdr:colOff>222250</xdr:colOff>
                    <xdr:row>155</xdr:row>
                    <xdr:rowOff>12700</xdr:rowOff>
                  </from>
                  <to>
                    <xdr:col>20</xdr:col>
                    <xdr:colOff>165100</xdr:colOff>
                    <xdr:row>156</xdr:row>
                    <xdr:rowOff>0</xdr:rowOff>
                  </to>
                </anchor>
              </controlPr>
            </control>
          </mc:Choice>
        </mc:AlternateContent>
        <mc:AlternateContent xmlns:mc="http://schemas.openxmlformats.org/markup-compatibility/2006">
          <mc:Choice Requires="x14">
            <control shapeId="89209" r:id="rId54" name="Option Button 12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89210" r:id="rId55" name="Group Box 122">
              <controlPr defaultSize="0" autoFill="0" autoPict="0">
                <anchor moveWithCells="1">
                  <from>
                    <xdr:col>34</xdr:col>
                    <xdr:colOff>31750</xdr:colOff>
                    <xdr:row>155</xdr:row>
                    <xdr:rowOff>12700</xdr:rowOff>
                  </from>
                  <to>
                    <xdr:col>45</xdr:col>
                    <xdr:colOff>241300</xdr:colOff>
                    <xdr:row>156</xdr:row>
                    <xdr:rowOff>0</xdr:rowOff>
                  </to>
                </anchor>
              </controlPr>
            </control>
          </mc:Choice>
        </mc:AlternateContent>
        <mc:AlternateContent xmlns:mc="http://schemas.openxmlformats.org/markup-compatibility/2006">
          <mc:Choice Requires="x14">
            <control shapeId="89211" r:id="rId56" name="Option Button 123">
              <controlPr defaultSize="0" autoFill="0" autoLine="0" autoPict="0">
                <anchor moveWithCells="1">
                  <from>
                    <xdr:col>34</xdr:col>
                    <xdr:colOff>222250</xdr:colOff>
                    <xdr:row>155</xdr:row>
                    <xdr:rowOff>12700</xdr:rowOff>
                  </from>
                  <to>
                    <xdr:col>38</xdr:col>
                    <xdr:colOff>165100</xdr:colOff>
                    <xdr:row>156</xdr:row>
                    <xdr:rowOff>0</xdr:rowOff>
                  </to>
                </anchor>
              </controlPr>
            </control>
          </mc:Choice>
        </mc:AlternateContent>
        <mc:AlternateContent xmlns:mc="http://schemas.openxmlformats.org/markup-compatibility/2006">
          <mc:Choice Requires="x14">
            <control shapeId="89212" r:id="rId57" name="Option Button 12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89213" r:id="rId58" name="Group Box 125">
              <controlPr defaultSize="0" autoFill="0" autoPict="0">
                <anchor moveWithCells="1">
                  <from>
                    <xdr:col>16</xdr:col>
                    <xdr:colOff>38100</xdr:colOff>
                    <xdr:row>156</xdr:row>
                    <xdr:rowOff>12700</xdr:rowOff>
                  </from>
                  <to>
                    <xdr:col>27</xdr:col>
                    <xdr:colOff>247650</xdr:colOff>
                    <xdr:row>157</xdr:row>
                    <xdr:rowOff>0</xdr:rowOff>
                  </to>
                </anchor>
              </controlPr>
            </control>
          </mc:Choice>
        </mc:AlternateContent>
        <mc:AlternateContent xmlns:mc="http://schemas.openxmlformats.org/markup-compatibility/2006">
          <mc:Choice Requires="x14">
            <control shapeId="89214" r:id="rId59" name="Option Button 126">
              <controlPr defaultSize="0" autoFill="0" autoLine="0" autoPict="0">
                <anchor moveWithCells="1">
                  <from>
                    <xdr:col>16</xdr:col>
                    <xdr:colOff>222250</xdr:colOff>
                    <xdr:row>156</xdr:row>
                    <xdr:rowOff>12700</xdr:rowOff>
                  </from>
                  <to>
                    <xdr:col>20</xdr:col>
                    <xdr:colOff>165100</xdr:colOff>
                    <xdr:row>157</xdr:row>
                    <xdr:rowOff>0</xdr:rowOff>
                  </to>
                </anchor>
              </controlPr>
            </control>
          </mc:Choice>
        </mc:AlternateContent>
        <mc:AlternateContent xmlns:mc="http://schemas.openxmlformats.org/markup-compatibility/2006">
          <mc:Choice Requires="x14">
            <control shapeId="89215" r:id="rId60" name="Option Button 12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89216" r:id="rId61" name="Group Box 128">
              <controlPr defaultSize="0" autoFill="0" autoPict="0">
                <anchor moveWithCells="1">
                  <from>
                    <xdr:col>16</xdr:col>
                    <xdr:colOff>38100</xdr:colOff>
                    <xdr:row>158</xdr:row>
                    <xdr:rowOff>0</xdr:rowOff>
                  </from>
                  <to>
                    <xdr:col>27</xdr:col>
                    <xdr:colOff>247650</xdr:colOff>
                    <xdr:row>158</xdr:row>
                    <xdr:rowOff>241300</xdr:rowOff>
                  </to>
                </anchor>
              </controlPr>
            </control>
          </mc:Choice>
        </mc:AlternateContent>
        <mc:AlternateContent xmlns:mc="http://schemas.openxmlformats.org/markup-compatibility/2006">
          <mc:Choice Requires="x14">
            <control shapeId="89219" r:id="rId62" name="Group Box 131">
              <controlPr defaultSize="0" autoFill="0" autoPict="0">
                <anchor moveWithCells="1">
                  <from>
                    <xdr:col>16</xdr:col>
                    <xdr:colOff>31750</xdr:colOff>
                    <xdr:row>159</xdr:row>
                    <xdr:rowOff>0</xdr:rowOff>
                  </from>
                  <to>
                    <xdr:col>27</xdr:col>
                    <xdr:colOff>241300</xdr:colOff>
                    <xdr:row>161</xdr:row>
                    <xdr:rowOff>241300</xdr:rowOff>
                  </to>
                </anchor>
              </controlPr>
            </control>
          </mc:Choice>
        </mc:AlternateContent>
        <mc:AlternateContent xmlns:mc="http://schemas.openxmlformats.org/markup-compatibility/2006">
          <mc:Choice Requires="x14">
            <control shapeId="89222" r:id="rId63" name="Group Box 134">
              <controlPr defaultSize="0" autoFill="0" autoPict="0">
                <anchor moveWithCells="1">
                  <from>
                    <xdr:col>18</xdr:col>
                    <xdr:colOff>31750</xdr:colOff>
                    <xdr:row>160</xdr:row>
                    <xdr:rowOff>0</xdr:rowOff>
                  </from>
                  <to>
                    <xdr:col>29</xdr:col>
                    <xdr:colOff>241300</xdr:colOff>
                    <xdr:row>161</xdr:row>
                    <xdr:rowOff>241300</xdr:rowOff>
                  </to>
                </anchor>
              </controlPr>
            </control>
          </mc:Choice>
        </mc:AlternateContent>
        <mc:AlternateContent xmlns:mc="http://schemas.openxmlformats.org/markup-compatibility/2006">
          <mc:Choice Requires="x14">
            <control shapeId="89225" r:id="rId64" name="Group Box 137">
              <controlPr defaultSize="0" autoFill="0" autoPict="0">
                <anchor moveWithCells="1">
                  <from>
                    <xdr:col>34</xdr:col>
                    <xdr:colOff>31750</xdr:colOff>
                    <xdr:row>160</xdr:row>
                    <xdr:rowOff>0</xdr:rowOff>
                  </from>
                  <to>
                    <xdr:col>45</xdr:col>
                    <xdr:colOff>241300</xdr:colOff>
                    <xdr:row>161</xdr:row>
                    <xdr:rowOff>241300</xdr:rowOff>
                  </to>
                </anchor>
              </controlPr>
            </control>
          </mc:Choice>
        </mc:AlternateContent>
        <mc:AlternateContent xmlns:mc="http://schemas.openxmlformats.org/markup-compatibility/2006">
          <mc:Choice Requires="x14">
            <control shapeId="89228" r:id="rId65" name="Group Box 140">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89229" r:id="rId66" name="Option Button 141">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89230" r:id="rId67" name="Option Button 142">
              <controlPr defaultSize="0" autoFill="0" autoLine="0" autoPict="0">
                <anchor moveWithCells="1">
                  <from>
                    <xdr:col>21</xdr:col>
                    <xdr:colOff>222250</xdr:colOff>
                    <xdr:row>157</xdr:row>
                    <xdr:rowOff>0</xdr:rowOff>
                  </from>
                  <to>
                    <xdr:col>25</xdr:col>
                    <xdr:colOff>165100</xdr:colOff>
                    <xdr:row>157</xdr:row>
                    <xdr:rowOff>241300</xdr:rowOff>
                  </to>
                </anchor>
              </controlPr>
            </control>
          </mc:Choice>
        </mc:AlternateContent>
        <mc:AlternateContent xmlns:mc="http://schemas.openxmlformats.org/markup-compatibility/2006">
          <mc:Choice Requires="x14">
            <control shapeId="89231" r:id="rId68" name="Option Button 143">
              <controlPr defaultSize="0" autoFill="0" autoLine="0" autoPict="0">
                <anchor moveWithCells="1">
                  <from>
                    <xdr:col>26</xdr:col>
                    <xdr:colOff>222250</xdr:colOff>
                    <xdr:row>157</xdr:row>
                    <xdr:rowOff>0</xdr:rowOff>
                  </from>
                  <to>
                    <xdr:col>30</xdr:col>
                    <xdr:colOff>165100</xdr:colOff>
                    <xdr:row>157</xdr:row>
                    <xdr:rowOff>241300</xdr:rowOff>
                  </to>
                </anchor>
              </controlPr>
            </control>
          </mc:Choice>
        </mc:AlternateContent>
        <mc:AlternateContent xmlns:mc="http://schemas.openxmlformats.org/markup-compatibility/2006">
          <mc:Choice Requires="x14">
            <control shapeId="89232" r:id="rId69" name="Group Box 144">
              <controlPr defaultSize="0" autoFill="0" autoPict="0">
                <anchor moveWithCells="1">
                  <from>
                    <xdr:col>14</xdr:col>
                    <xdr:colOff>31750</xdr:colOff>
                    <xdr:row>82</xdr:row>
                    <xdr:rowOff>19050</xdr:rowOff>
                  </from>
                  <to>
                    <xdr:col>23</xdr:col>
                    <xdr:colOff>222250</xdr:colOff>
                    <xdr:row>83</xdr:row>
                    <xdr:rowOff>222250</xdr:rowOff>
                  </to>
                </anchor>
              </controlPr>
            </control>
          </mc:Choice>
        </mc:AlternateContent>
        <mc:AlternateContent xmlns:mc="http://schemas.openxmlformats.org/markup-compatibility/2006">
          <mc:Choice Requires="x14">
            <control shapeId="89242" r:id="rId70" name="Group Box 154">
              <controlPr defaultSize="0" autoFill="0" autoPict="0">
                <anchor moveWithCells="1">
                  <from>
                    <xdr:col>48</xdr:col>
                    <xdr:colOff>381000</xdr:colOff>
                    <xdr:row>83</xdr:row>
                    <xdr:rowOff>107950</xdr:rowOff>
                  </from>
                  <to>
                    <xdr:col>140</xdr:col>
                    <xdr:colOff>95250</xdr:colOff>
                    <xdr:row>111</xdr:row>
                    <xdr:rowOff>184150</xdr:rowOff>
                  </to>
                </anchor>
              </controlPr>
            </control>
          </mc:Choice>
        </mc:AlternateContent>
        <mc:AlternateContent xmlns:mc="http://schemas.openxmlformats.org/markup-compatibility/2006">
          <mc:Choice Requires="x14">
            <control shapeId="89243" r:id="rId71" name="Option Button 155">
              <controlPr defaultSize="0" autoFill="0" autoLine="0" autoPict="0">
                <anchor moveWithCells="1">
                  <from>
                    <xdr:col>22</xdr:col>
                    <xdr:colOff>171450</xdr:colOff>
                    <xdr:row>149</xdr:row>
                    <xdr:rowOff>12700</xdr:rowOff>
                  </from>
                  <to>
                    <xdr:col>25</xdr:col>
                    <xdr:colOff>260350</xdr:colOff>
                    <xdr:row>150</xdr:row>
                    <xdr:rowOff>0</xdr:rowOff>
                  </to>
                </anchor>
              </controlPr>
            </control>
          </mc:Choice>
        </mc:AlternateContent>
        <mc:AlternateContent xmlns:mc="http://schemas.openxmlformats.org/markup-compatibility/2006">
          <mc:Choice Requires="x14">
            <control shapeId="89244" r:id="rId72" name="Option Button 156">
              <controlPr defaultSize="0" autoFill="0" autoLine="0" autoPict="0">
                <anchor moveWithCells="1">
                  <from>
                    <xdr:col>10</xdr:col>
                    <xdr:colOff>165100</xdr:colOff>
                    <xdr:row>149</xdr:row>
                    <xdr:rowOff>12700</xdr:rowOff>
                  </from>
                  <to>
                    <xdr:col>14</xdr:col>
                    <xdr:colOff>0</xdr:colOff>
                    <xdr:row>150</xdr:row>
                    <xdr:rowOff>0</xdr:rowOff>
                  </to>
                </anchor>
              </controlPr>
            </control>
          </mc:Choice>
        </mc:AlternateContent>
        <mc:AlternateContent xmlns:mc="http://schemas.openxmlformats.org/markup-compatibility/2006">
          <mc:Choice Requires="x14">
            <control shapeId="89245" r:id="rId73" name="Option Button 157">
              <controlPr defaultSize="0" autoFill="0" autoLine="0" autoPict="0">
                <anchor moveWithCells="1">
                  <from>
                    <xdr:col>34</xdr:col>
                    <xdr:colOff>165100</xdr:colOff>
                    <xdr:row>149</xdr:row>
                    <xdr:rowOff>12700</xdr:rowOff>
                  </from>
                  <to>
                    <xdr:col>38</xdr:col>
                    <xdr:colOff>0</xdr:colOff>
                    <xdr:row>150</xdr:row>
                    <xdr:rowOff>0</xdr:rowOff>
                  </to>
                </anchor>
              </controlPr>
            </control>
          </mc:Choice>
        </mc:AlternateContent>
        <mc:AlternateContent xmlns:mc="http://schemas.openxmlformats.org/markup-compatibility/2006">
          <mc:Choice Requires="x14">
            <control shapeId="89246" r:id="rId74" name="Check Box 158">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89247" r:id="rId75" name="Check Box 159">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89248" r:id="rId76" name="Group Box 160">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89249" r:id="rId77" name="Option Button 161">
              <controlPr defaultSize="0" autoFill="0" autoLine="0" autoPict="0">
                <anchor moveWithCells="1">
                  <from>
                    <xdr:col>14</xdr:col>
                    <xdr:colOff>127000</xdr:colOff>
                    <xdr:row>61</xdr:row>
                    <xdr:rowOff>12700</xdr:rowOff>
                  </from>
                  <to>
                    <xdr:col>17</xdr:col>
                    <xdr:colOff>241300</xdr:colOff>
                    <xdr:row>61</xdr:row>
                    <xdr:rowOff>209550</xdr:rowOff>
                  </to>
                </anchor>
              </controlPr>
            </control>
          </mc:Choice>
        </mc:AlternateContent>
        <mc:AlternateContent xmlns:mc="http://schemas.openxmlformats.org/markup-compatibility/2006">
          <mc:Choice Requires="x14">
            <control shapeId="89250" r:id="rId78" name="Option Button 162">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89253" r:id="rId79" name="Group Box 165">
              <controlPr defaultSize="0" autoFill="0" autoPict="0">
                <anchor moveWithCells="1">
                  <from>
                    <xdr:col>14</xdr:col>
                    <xdr:colOff>0</xdr:colOff>
                    <xdr:row>60</xdr:row>
                    <xdr:rowOff>0</xdr:rowOff>
                  </from>
                  <to>
                    <xdr:col>25</xdr:col>
                    <xdr:colOff>247650</xdr:colOff>
                    <xdr:row>60</xdr:row>
                    <xdr:rowOff>241300</xdr:rowOff>
                  </to>
                </anchor>
              </controlPr>
            </control>
          </mc:Choice>
        </mc:AlternateContent>
        <mc:AlternateContent xmlns:mc="http://schemas.openxmlformats.org/markup-compatibility/2006">
          <mc:Choice Requires="x14">
            <control shapeId="89255" r:id="rId80" name="Group Box 167">
              <controlPr defaultSize="0" autoFill="0" autoPict="0">
                <anchor moveWithCells="1">
                  <from>
                    <xdr:col>14</xdr:col>
                    <xdr:colOff>57150</xdr:colOff>
                    <xdr:row>82</xdr:row>
                    <xdr:rowOff>228600</xdr:rowOff>
                  </from>
                  <to>
                    <xdr:col>38</xdr:col>
                    <xdr:colOff>241300</xdr:colOff>
                    <xdr:row>84</xdr:row>
                    <xdr:rowOff>38100</xdr:rowOff>
                  </to>
                </anchor>
              </controlPr>
            </control>
          </mc:Choice>
        </mc:AlternateContent>
        <mc:AlternateContent xmlns:mc="http://schemas.openxmlformats.org/markup-compatibility/2006">
          <mc:Choice Requires="x14">
            <control shapeId="89256" r:id="rId81" name="Option Button 168">
              <controlPr defaultSize="0" autoFill="0" autoLine="0" autoPict="0">
                <anchor moveWithCells="1">
                  <from>
                    <xdr:col>14</xdr:col>
                    <xdr:colOff>203200</xdr:colOff>
                    <xdr:row>82</xdr:row>
                    <xdr:rowOff>247650</xdr:rowOff>
                  </from>
                  <to>
                    <xdr:col>18</xdr:col>
                    <xdr:colOff>107950</xdr:colOff>
                    <xdr:row>83</xdr:row>
                    <xdr:rowOff>241300</xdr:rowOff>
                  </to>
                </anchor>
              </controlPr>
            </control>
          </mc:Choice>
        </mc:AlternateContent>
        <mc:AlternateContent xmlns:mc="http://schemas.openxmlformats.org/markup-compatibility/2006">
          <mc:Choice Requires="x14">
            <control shapeId="89257" r:id="rId82" name="Option Button 169">
              <controlPr defaultSize="0" autoFill="0" autoLine="0" autoPict="0">
                <anchor moveWithCells="1">
                  <from>
                    <xdr:col>19</xdr:col>
                    <xdr:colOff>209550</xdr:colOff>
                    <xdr:row>82</xdr:row>
                    <xdr:rowOff>247650</xdr:rowOff>
                  </from>
                  <to>
                    <xdr:col>23</xdr:col>
                    <xdr:colOff>114300</xdr:colOff>
                    <xdr:row>83</xdr:row>
                    <xdr:rowOff>241300</xdr:rowOff>
                  </to>
                </anchor>
              </controlPr>
            </control>
          </mc:Choice>
        </mc:AlternateContent>
        <mc:AlternateContent xmlns:mc="http://schemas.openxmlformats.org/markup-compatibility/2006">
          <mc:Choice Requires="x14">
            <control shapeId="89258" r:id="rId83" name="Option Button 170">
              <controlPr defaultSize="0" autoFill="0" autoLine="0" autoPict="0">
                <anchor moveWithCells="1">
                  <from>
                    <xdr:col>29</xdr:col>
                    <xdr:colOff>209550</xdr:colOff>
                    <xdr:row>82</xdr:row>
                    <xdr:rowOff>247650</xdr:rowOff>
                  </from>
                  <to>
                    <xdr:col>33</xdr:col>
                    <xdr:colOff>114300</xdr:colOff>
                    <xdr:row>83</xdr:row>
                    <xdr:rowOff>241300</xdr:rowOff>
                  </to>
                </anchor>
              </controlPr>
            </control>
          </mc:Choice>
        </mc:AlternateContent>
        <mc:AlternateContent xmlns:mc="http://schemas.openxmlformats.org/markup-compatibility/2006">
          <mc:Choice Requires="x14">
            <control shapeId="89259" r:id="rId84" name="Group Box 171">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89260" r:id="rId85" name="Option Button 172">
              <controlPr defaultSize="0" autoFill="0" autoLine="0" autoPict="0">
                <anchor moveWithCells="1">
                  <from>
                    <xdr:col>14</xdr:col>
                    <xdr:colOff>203200</xdr:colOff>
                    <xdr:row>85</xdr:row>
                    <xdr:rowOff>247650</xdr:rowOff>
                  </from>
                  <to>
                    <xdr:col>18</xdr:col>
                    <xdr:colOff>107950</xdr:colOff>
                    <xdr:row>86</xdr:row>
                    <xdr:rowOff>241300</xdr:rowOff>
                  </to>
                </anchor>
              </controlPr>
            </control>
          </mc:Choice>
        </mc:AlternateContent>
        <mc:AlternateContent xmlns:mc="http://schemas.openxmlformats.org/markup-compatibility/2006">
          <mc:Choice Requires="x14">
            <control shapeId="89261" r:id="rId86" name="Option Button 173">
              <controlPr defaultSize="0" autoFill="0" autoLine="0" autoPict="0">
                <anchor moveWithCells="1">
                  <from>
                    <xdr:col>19</xdr:col>
                    <xdr:colOff>209550</xdr:colOff>
                    <xdr:row>85</xdr:row>
                    <xdr:rowOff>247650</xdr:rowOff>
                  </from>
                  <to>
                    <xdr:col>23</xdr:col>
                    <xdr:colOff>114300</xdr:colOff>
                    <xdr:row>86</xdr:row>
                    <xdr:rowOff>241300</xdr:rowOff>
                  </to>
                </anchor>
              </controlPr>
            </control>
          </mc:Choice>
        </mc:AlternateContent>
        <mc:AlternateContent xmlns:mc="http://schemas.openxmlformats.org/markup-compatibility/2006">
          <mc:Choice Requires="x14">
            <control shapeId="89265" r:id="rId87" name="Check Box 177">
              <controlPr defaultSize="0" autoFill="0" autoLine="0" autoPict="0">
                <anchor moveWithCells="1">
                  <from>
                    <xdr:col>10</xdr:col>
                    <xdr:colOff>146050</xdr:colOff>
                    <xdr:row>174</xdr:row>
                    <xdr:rowOff>0</xdr:rowOff>
                  </from>
                  <to>
                    <xdr:col>15</xdr:col>
                    <xdr:colOff>241300</xdr:colOff>
                    <xdr:row>175</xdr:row>
                    <xdr:rowOff>0</xdr:rowOff>
                  </to>
                </anchor>
              </controlPr>
            </control>
          </mc:Choice>
        </mc:AlternateContent>
        <mc:AlternateContent xmlns:mc="http://schemas.openxmlformats.org/markup-compatibility/2006">
          <mc:Choice Requires="x14">
            <control shapeId="89266" r:id="rId88" name="Check Box 178">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89267" r:id="rId89" name="Group Box 179">
              <controlPr defaultSize="0" autoFill="0" autoPict="0">
                <anchor moveWithCells="1">
                  <from>
                    <xdr:col>14</xdr:col>
                    <xdr:colOff>38100</xdr:colOff>
                    <xdr:row>76</xdr:row>
                    <xdr:rowOff>0</xdr:rowOff>
                  </from>
                  <to>
                    <xdr:col>23</xdr:col>
                    <xdr:colOff>241300</xdr:colOff>
                    <xdr:row>78</xdr:row>
                    <xdr:rowOff>19050</xdr:rowOff>
                  </to>
                </anchor>
              </controlPr>
            </control>
          </mc:Choice>
        </mc:AlternateContent>
        <mc:AlternateContent xmlns:mc="http://schemas.openxmlformats.org/markup-compatibility/2006">
          <mc:Choice Requires="x14">
            <control shapeId="89268" r:id="rId90" name="Check Box 180">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89269" r:id="rId91" name="Group Box 181">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mc:AlternateContent xmlns:mc="http://schemas.openxmlformats.org/markup-compatibility/2006">
          <mc:Choice Requires="x14">
            <control shapeId="89270" r:id="rId92" name="Option Button 182">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89271" r:id="rId93" name="Option Button 183">
              <controlPr defaultSize="0" autoFill="0" autoLine="0" autoPict="0">
                <anchor moveWithCells="1">
                  <from>
                    <xdr:col>42</xdr:col>
                    <xdr:colOff>76200</xdr:colOff>
                    <xdr:row>78</xdr:row>
                    <xdr:rowOff>0</xdr:rowOff>
                  </from>
                  <to>
                    <xdr:col>45</xdr:col>
                    <xdr:colOff>241300</xdr:colOff>
                    <xdr:row>78</xdr:row>
                    <xdr:rowOff>241300</xdr:rowOff>
                  </to>
                </anchor>
              </controlPr>
            </control>
          </mc:Choice>
        </mc:AlternateContent>
        <mc:AlternateContent xmlns:mc="http://schemas.openxmlformats.org/markup-compatibility/2006">
          <mc:Choice Requires="x14">
            <control shapeId="89273" r:id="rId94" name="Check Box 185">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89274" r:id="rId95" name="Group Box 186">
              <controlPr defaultSize="0" autoFill="0" autoPict="0">
                <anchor moveWithCells="1">
                  <from>
                    <xdr:col>15</xdr:col>
                    <xdr:colOff>247650</xdr:colOff>
                    <xdr:row>158</xdr:row>
                    <xdr:rowOff>12700</xdr:rowOff>
                  </from>
                  <to>
                    <xdr:col>27</xdr:col>
                    <xdr:colOff>247650</xdr:colOff>
                    <xdr:row>161</xdr:row>
                    <xdr:rowOff>241300</xdr:rowOff>
                  </to>
                </anchor>
              </controlPr>
            </control>
          </mc:Choice>
        </mc:AlternateContent>
        <mc:AlternateContent xmlns:mc="http://schemas.openxmlformats.org/markup-compatibility/2006">
          <mc:Choice Requires="x14">
            <control shapeId="89275" r:id="rId96" name="Option Button 187">
              <controlPr defaultSize="0" autoFill="0" autoLine="0" autoPict="0">
                <anchor moveWithCells="1">
                  <from>
                    <xdr:col>16</xdr:col>
                    <xdr:colOff>222250</xdr:colOff>
                    <xdr:row>158</xdr:row>
                    <xdr:rowOff>12700</xdr:rowOff>
                  </from>
                  <to>
                    <xdr:col>20</xdr:col>
                    <xdr:colOff>50800</xdr:colOff>
                    <xdr:row>159</xdr:row>
                    <xdr:rowOff>0</xdr:rowOff>
                  </to>
                </anchor>
              </controlPr>
            </control>
          </mc:Choice>
        </mc:AlternateContent>
        <mc:AlternateContent xmlns:mc="http://schemas.openxmlformats.org/markup-compatibility/2006">
          <mc:Choice Requires="x14">
            <control shapeId="89276" r:id="rId97" name="Option Button 188">
              <controlPr defaultSize="0" autoFill="0" autoLine="0" autoPict="0">
                <anchor moveWithCells="1">
                  <from>
                    <xdr:col>22</xdr:col>
                    <xdr:colOff>203200</xdr:colOff>
                    <xdr:row>158</xdr:row>
                    <xdr:rowOff>12700</xdr:rowOff>
                  </from>
                  <to>
                    <xdr:col>26</xdr:col>
                    <xdr:colOff>38100</xdr:colOff>
                    <xdr:row>159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G96"/>
  <sheetViews>
    <sheetView showGridLines="0" zoomScale="85" zoomScaleNormal="85" workbookViewId="0">
      <pane ySplit="6" topLeftCell="A7" activePane="bottomLeft" state="frozen"/>
      <selection pane="bottomLeft"/>
    </sheetView>
  </sheetViews>
  <sheetFormatPr defaultColWidth="9" defaultRowHeight="15"/>
  <cols>
    <col min="1" max="1" width="3.7265625" style="306" customWidth="1"/>
    <col min="2" max="2" width="14.6328125" style="306" customWidth="1"/>
    <col min="3" max="3" width="30.6328125" style="306" customWidth="1"/>
    <col min="4" max="4" width="100.6328125" style="306" customWidth="1"/>
    <col min="5" max="7" width="8.6328125" style="306" hidden="1" customWidth="1"/>
    <col min="8" max="16384" width="9" style="306"/>
  </cols>
  <sheetData>
    <row r="1" spans="2:7">
      <c r="E1" s="873" t="s">
        <v>1073</v>
      </c>
      <c r="F1" s="873" t="s">
        <v>1073</v>
      </c>
      <c r="G1" s="873" t="s">
        <v>1073</v>
      </c>
    </row>
    <row r="2" spans="2:7" ht="26.5">
      <c r="B2" s="874" t="s">
        <v>4150</v>
      </c>
    </row>
    <row r="4" spans="2:7">
      <c r="B4" s="420" t="s">
        <v>1885</v>
      </c>
      <c r="C4" s="910" t="str">
        <f ca="1">IF(G5=0,"該当する業種を一覧の中からご選択ください。",OFFSET(C6,G5,0))</f>
        <v>電話機販売</v>
      </c>
      <c r="G4" s="1058" t="str">
        <f ca="1">IF(G5=0,0,OFFSET(G6,G5,0))</f>
        <v>40802</v>
      </c>
    </row>
    <row r="5" spans="2:7">
      <c r="G5" s="931">
        <v>28</v>
      </c>
    </row>
    <row r="6" spans="2:7" ht="30">
      <c r="B6" s="876" t="s">
        <v>1884</v>
      </c>
      <c r="C6" s="877" t="s">
        <v>4151</v>
      </c>
      <c r="D6" s="878" t="s">
        <v>4152</v>
      </c>
      <c r="G6" s="306" t="s">
        <v>4153</v>
      </c>
    </row>
    <row r="7" spans="2:7" ht="16.5" customHeight="1">
      <c r="B7" s="879"/>
      <c r="C7" s="879" t="s">
        <v>4154</v>
      </c>
      <c r="D7" s="880"/>
      <c r="G7" s="306" t="s">
        <v>4155</v>
      </c>
    </row>
    <row r="8" spans="2:7" ht="16.5" customHeight="1">
      <c r="B8" s="879"/>
      <c r="C8" s="879" t="s">
        <v>1507</v>
      </c>
      <c r="D8" s="880"/>
      <c r="G8" s="306" t="s">
        <v>4156</v>
      </c>
    </row>
    <row r="9" spans="2:7" ht="16.5" customHeight="1">
      <c r="B9" s="879"/>
      <c r="C9" s="879" t="s">
        <v>1510</v>
      </c>
      <c r="D9" s="880"/>
      <c r="G9" s="306" t="s">
        <v>4157</v>
      </c>
    </row>
    <row r="10" spans="2:7" ht="16.5" customHeight="1">
      <c r="B10" s="879"/>
      <c r="C10" s="879" t="s">
        <v>4158</v>
      </c>
      <c r="D10" s="880" t="s">
        <v>4159</v>
      </c>
      <c r="G10" s="306" t="s">
        <v>4160</v>
      </c>
    </row>
    <row r="11" spans="2:7" ht="16.5" customHeight="1">
      <c r="B11" s="879"/>
      <c r="C11" s="879" t="s">
        <v>4161</v>
      </c>
      <c r="D11" s="880"/>
      <c r="G11" s="306" t="s">
        <v>4162</v>
      </c>
    </row>
    <row r="12" spans="2:7" ht="16.5" customHeight="1">
      <c r="B12" s="879"/>
      <c r="C12" s="879" t="s">
        <v>4163</v>
      </c>
      <c r="D12" s="880"/>
      <c r="G12" s="306" t="s">
        <v>4164</v>
      </c>
    </row>
    <row r="13" spans="2:7" ht="16.5" customHeight="1">
      <c r="B13" s="879"/>
      <c r="C13" s="879" t="s">
        <v>4165</v>
      </c>
      <c r="D13" s="880"/>
      <c r="G13" s="306" t="s">
        <v>4166</v>
      </c>
    </row>
    <row r="14" spans="2:7" ht="16.5" customHeight="1">
      <c r="B14" s="879"/>
      <c r="C14" s="879" t="s">
        <v>4167</v>
      </c>
      <c r="D14" s="880"/>
      <c r="G14" s="306" t="s">
        <v>4168</v>
      </c>
    </row>
    <row r="15" spans="2:7" ht="16.5" customHeight="1">
      <c r="B15" s="879"/>
      <c r="C15" s="879" t="s">
        <v>4169</v>
      </c>
      <c r="D15" s="880"/>
      <c r="G15" s="306" t="s">
        <v>3649</v>
      </c>
    </row>
    <row r="16" spans="2:7" ht="16.5" customHeight="1">
      <c r="B16" s="879"/>
      <c r="C16" s="879" t="s">
        <v>4170</v>
      </c>
      <c r="D16" s="880"/>
      <c r="G16" s="306" t="s">
        <v>4171</v>
      </c>
    </row>
    <row r="17" spans="2:7" ht="16.5" customHeight="1">
      <c r="B17" s="879"/>
      <c r="C17" s="879" t="s">
        <v>4172</v>
      </c>
      <c r="D17" s="880"/>
      <c r="G17" s="306" t="s">
        <v>4173</v>
      </c>
    </row>
    <row r="18" spans="2:7" ht="16.5" customHeight="1">
      <c r="B18" s="879"/>
      <c r="C18" s="879" t="s">
        <v>4174</v>
      </c>
      <c r="D18" s="880"/>
      <c r="G18" s="306" t="s">
        <v>4175</v>
      </c>
    </row>
    <row r="19" spans="2:7" ht="16.5" customHeight="1">
      <c r="B19" s="879"/>
      <c r="C19" s="879" t="s">
        <v>4176</v>
      </c>
      <c r="D19" s="880"/>
      <c r="G19" s="306" t="s">
        <v>4177</v>
      </c>
    </row>
    <row r="20" spans="2:7" ht="16.5" customHeight="1">
      <c r="B20" s="879"/>
      <c r="C20" s="879" t="s">
        <v>4178</v>
      </c>
      <c r="D20" s="880" t="s">
        <v>4179</v>
      </c>
      <c r="G20" s="306" t="s">
        <v>4180</v>
      </c>
    </row>
    <row r="21" spans="2:7" ht="16.5" customHeight="1">
      <c r="B21" s="879"/>
      <c r="C21" s="879" t="s">
        <v>4181</v>
      </c>
      <c r="D21" s="880"/>
      <c r="G21" s="306" t="s">
        <v>4182</v>
      </c>
    </row>
    <row r="22" spans="2:7" ht="16.5" customHeight="1">
      <c r="B22" s="879"/>
      <c r="C22" s="879" t="s">
        <v>4183</v>
      </c>
      <c r="D22" s="880"/>
      <c r="G22" s="306" t="s">
        <v>4184</v>
      </c>
    </row>
    <row r="23" spans="2:7" ht="16.5" customHeight="1">
      <c r="B23" s="879"/>
      <c r="C23" s="879" t="s">
        <v>4185</v>
      </c>
      <c r="D23" s="880"/>
      <c r="G23" s="306" t="s">
        <v>4186</v>
      </c>
    </row>
    <row r="24" spans="2:7" ht="16.5" customHeight="1">
      <c r="B24" s="879"/>
      <c r="C24" s="879" t="s">
        <v>2450</v>
      </c>
      <c r="D24" s="880"/>
      <c r="G24" s="306" t="s">
        <v>4187</v>
      </c>
    </row>
    <row r="25" spans="2:7" ht="16.5" customHeight="1">
      <c r="B25" s="879"/>
      <c r="C25" s="879" t="s">
        <v>4188</v>
      </c>
      <c r="D25" s="880"/>
      <c r="G25" s="306" t="s">
        <v>4189</v>
      </c>
    </row>
    <row r="26" spans="2:7" ht="16.5" customHeight="1">
      <c r="B26" s="879"/>
      <c r="C26" s="879" t="s">
        <v>4190</v>
      </c>
      <c r="D26" s="880"/>
      <c r="G26" s="306" t="s">
        <v>4191</v>
      </c>
    </row>
    <row r="27" spans="2:7" ht="16.5" customHeight="1">
      <c r="B27" s="879"/>
      <c r="C27" s="879" t="s">
        <v>4192</v>
      </c>
      <c r="D27" s="880"/>
      <c r="G27" s="306" t="s">
        <v>4193</v>
      </c>
    </row>
    <row r="28" spans="2:7" ht="16.5" customHeight="1">
      <c r="B28" s="879"/>
      <c r="C28" s="879" t="s">
        <v>1675</v>
      </c>
      <c r="D28" s="880"/>
      <c r="G28" s="306" t="s">
        <v>4095</v>
      </c>
    </row>
    <row r="29" spans="2:7" ht="16.5" customHeight="1">
      <c r="B29" s="879"/>
      <c r="C29" s="879" t="s">
        <v>4194</v>
      </c>
      <c r="D29" s="880"/>
      <c r="G29" s="306" t="s">
        <v>4195</v>
      </c>
    </row>
    <row r="30" spans="2:7" ht="16.5" customHeight="1">
      <c r="B30" s="879"/>
      <c r="C30" s="879" t="s">
        <v>4196</v>
      </c>
      <c r="D30" s="880"/>
      <c r="G30" s="306" t="s">
        <v>4197</v>
      </c>
    </row>
    <row r="31" spans="2:7" ht="16.5" customHeight="1">
      <c r="B31" s="879"/>
      <c r="C31" s="879" t="s">
        <v>4198</v>
      </c>
      <c r="D31" s="880"/>
      <c r="G31" s="306" t="s">
        <v>4199</v>
      </c>
    </row>
    <row r="32" spans="2:7" ht="16.5" customHeight="1">
      <c r="B32" s="879"/>
      <c r="C32" s="879" t="s">
        <v>4200</v>
      </c>
      <c r="D32" s="880"/>
      <c r="G32" s="306" t="s">
        <v>4201</v>
      </c>
    </row>
    <row r="33" spans="2:7" ht="16.5" customHeight="1">
      <c r="B33" s="879"/>
      <c r="C33" s="879" t="s">
        <v>4202</v>
      </c>
      <c r="D33" s="880" t="s">
        <v>4203</v>
      </c>
      <c r="G33" s="306" t="s">
        <v>4204</v>
      </c>
    </row>
    <row r="34" spans="2:7" ht="16.5" customHeight="1">
      <c r="B34" s="879"/>
      <c r="C34" s="879" t="s">
        <v>4205</v>
      </c>
      <c r="D34" s="880" t="s">
        <v>4206</v>
      </c>
      <c r="G34" s="306" t="s">
        <v>4207</v>
      </c>
    </row>
    <row r="35" spans="2:7" ht="16.5" customHeight="1">
      <c r="B35" s="879"/>
      <c r="C35" s="879" t="s">
        <v>4208</v>
      </c>
      <c r="D35" s="880" t="s">
        <v>4209</v>
      </c>
      <c r="G35" s="306" t="s">
        <v>4210</v>
      </c>
    </row>
    <row r="36" spans="2:7" ht="16.5" customHeight="1">
      <c r="B36" s="879"/>
      <c r="C36" s="879" t="s">
        <v>4211</v>
      </c>
      <c r="D36" s="880" t="s">
        <v>4212</v>
      </c>
      <c r="G36" s="306" t="s">
        <v>4213</v>
      </c>
    </row>
    <row r="37" spans="2:7" ht="16.5" customHeight="1">
      <c r="B37" s="879"/>
      <c r="C37" s="879" t="s">
        <v>4214</v>
      </c>
      <c r="D37" s="880"/>
      <c r="G37" s="306" t="s">
        <v>4215</v>
      </c>
    </row>
    <row r="38" spans="2:7" ht="16.5" customHeight="1">
      <c r="B38" s="879"/>
      <c r="C38" s="879" t="s">
        <v>4216</v>
      </c>
      <c r="D38" s="880"/>
      <c r="G38" s="306" t="s">
        <v>4217</v>
      </c>
    </row>
    <row r="39" spans="2:7" ht="16.5" customHeight="1">
      <c r="B39" s="879"/>
      <c r="C39" s="879" t="s">
        <v>4218</v>
      </c>
      <c r="D39" s="880" t="s">
        <v>4219</v>
      </c>
      <c r="G39" s="306" t="s">
        <v>4220</v>
      </c>
    </row>
    <row r="40" spans="2:7" ht="16.5" customHeight="1">
      <c r="B40" s="879"/>
      <c r="C40" s="879" t="s">
        <v>4221</v>
      </c>
      <c r="D40" s="880"/>
      <c r="G40" s="306" t="s">
        <v>4098</v>
      </c>
    </row>
    <row r="41" spans="2:7" ht="16.5" customHeight="1">
      <c r="B41" s="879"/>
      <c r="C41" s="879" t="s">
        <v>4222</v>
      </c>
      <c r="D41" s="880"/>
      <c r="G41" s="306" t="s">
        <v>4223</v>
      </c>
    </row>
    <row r="42" spans="2:7" ht="16.5" customHeight="1">
      <c r="B42" s="879"/>
      <c r="C42" s="879" t="s">
        <v>4224</v>
      </c>
      <c r="D42" s="880" t="s">
        <v>4225</v>
      </c>
      <c r="G42" s="306" t="s">
        <v>4226</v>
      </c>
    </row>
    <row r="43" spans="2:7" ht="16.5" customHeight="1">
      <c r="B43" s="879"/>
      <c r="C43" s="879" t="s">
        <v>4227</v>
      </c>
      <c r="D43" s="880"/>
      <c r="G43" s="306" t="s">
        <v>4228</v>
      </c>
    </row>
    <row r="44" spans="2:7" ht="16.5" customHeight="1">
      <c r="B44" s="879"/>
      <c r="C44" s="879" t="s">
        <v>4229</v>
      </c>
      <c r="D44" s="880" t="s">
        <v>4230</v>
      </c>
      <c r="G44" s="306" t="s">
        <v>4231</v>
      </c>
    </row>
    <row r="45" spans="2:7" ht="16.5" customHeight="1">
      <c r="B45" s="879"/>
      <c r="C45" s="879" t="s">
        <v>4232</v>
      </c>
      <c r="D45" s="880"/>
      <c r="G45" s="306" t="s">
        <v>4233</v>
      </c>
    </row>
    <row r="46" spans="2:7" ht="16.5" customHeight="1">
      <c r="B46" s="879"/>
      <c r="C46" s="879" t="s">
        <v>4234</v>
      </c>
      <c r="D46" s="880"/>
      <c r="G46" s="306" t="s">
        <v>4235</v>
      </c>
    </row>
    <row r="47" spans="2:7" ht="16.5" customHeight="1">
      <c r="B47" s="879"/>
      <c r="C47" s="879" t="s">
        <v>4236</v>
      </c>
      <c r="D47" s="880" t="s">
        <v>4237</v>
      </c>
      <c r="G47" s="306" t="s">
        <v>4238</v>
      </c>
    </row>
    <row r="48" spans="2:7" ht="16.5" customHeight="1">
      <c r="B48" s="879"/>
      <c r="C48" s="879" t="s">
        <v>5677</v>
      </c>
      <c r="D48" s="880" t="s">
        <v>5678</v>
      </c>
      <c r="G48" s="306" t="s">
        <v>5669</v>
      </c>
    </row>
    <row r="49" spans="2:7" ht="16.5" customHeight="1">
      <c r="B49" s="879"/>
      <c r="C49" s="879" t="s">
        <v>4239</v>
      </c>
      <c r="D49" s="880"/>
      <c r="G49" s="306" t="s">
        <v>4240</v>
      </c>
    </row>
    <row r="50" spans="2:7" ht="16.5" customHeight="1">
      <c r="B50" s="879"/>
      <c r="C50" s="879" t="s">
        <v>4241</v>
      </c>
      <c r="D50" s="880" t="s">
        <v>4242</v>
      </c>
      <c r="G50" s="306" t="s">
        <v>4243</v>
      </c>
    </row>
    <row r="51" spans="2:7" ht="16.5" customHeight="1">
      <c r="B51" s="879"/>
      <c r="C51" s="879" t="s">
        <v>4244</v>
      </c>
      <c r="D51" s="880"/>
      <c r="G51" s="306" t="s">
        <v>4245</v>
      </c>
    </row>
    <row r="52" spans="2:7" ht="16.5" customHeight="1">
      <c r="B52" s="879"/>
      <c r="C52" s="879" t="s">
        <v>4246</v>
      </c>
      <c r="D52" s="880" t="s">
        <v>4247</v>
      </c>
      <c r="G52" s="306" t="s">
        <v>4248</v>
      </c>
    </row>
    <row r="53" spans="2:7" ht="16.5" customHeight="1">
      <c r="B53" s="879"/>
      <c r="C53" s="879" t="s">
        <v>4249</v>
      </c>
      <c r="D53" s="880"/>
      <c r="G53" s="306" t="s">
        <v>4250</v>
      </c>
    </row>
    <row r="54" spans="2:7" ht="16.5" customHeight="1">
      <c r="B54" s="879"/>
      <c r="C54" s="879" t="s">
        <v>4251</v>
      </c>
      <c r="D54" s="880" t="s">
        <v>4252</v>
      </c>
      <c r="G54" s="306" t="s">
        <v>4253</v>
      </c>
    </row>
    <row r="55" spans="2:7" ht="16.5" customHeight="1">
      <c r="B55" s="879"/>
      <c r="C55" s="879" t="s">
        <v>4254</v>
      </c>
      <c r="D55" s="880" t="s">
        <v>4255</v>
      </c>
      <c r="G55" s="306" t="s">
        <v>4256</v>
      </c>
    </row>
    <row r="56" spans="2:7" ht="16.5" customHeight="1">
      <c r="B56" s="879"/>
      <c r="C56" s="879" t="s">
        <v>4257</v>
      </c>
      <c r="D56" s="880"/>
      <c r="G56" s="306" t="s">
        <v>4258</v>
      </c>
    </row>
    <row r="57" spans="2:7" ht="16.5" customHeight="1">
      <c r="B57" s="879"/>
      <c r="C57" s="879" t="s">
        <v>4259</v>
      </c>
      <c r="D57" s="880"/>
      <c r="G57" s="306" t="s">
        <v>4260</v>
      </c>
    </row>
    <row r="58" spans="2:7" ht="16.5" customHeight="1">
      <c r="B58" s="879"/>
      <c r="C58" s="879" t="s">
        <v>4261</v>
      </c>
      <c r="D58" s="880"/>
      <c r="G58" s="306" t="s">
        <v>4262</v>
      </c>
    </row>
    <row r="59" spans="2:7" ht="16.5" customHeight="1">
      <c r="B59" s="879"/>
      <c r="C59" s="879" t="s">
        <v>4263</v>
      </c>
      <c r="D59" s="880"/>
      <c r="G59" s="306" t="s">
        <v>4264</v>
      </c>
    </row>
    <row r="60" spans="2:7" ht="16.5" customHeight="1">
      <c r="B60" s="879"/>
      <c r="C60" s="879" t="s">
        <v>4265</v>
      </c>
      <c r="D60" s="880" t="s">
        <v>4266</v>
      </c>
      <c r="G60" s="306" t="s">
        <v>4267</v>
      </c>
    </row>
    <row r="61" spans="2:7" ht="16.5" customHeight="1">
      <c r="B61" s="879"/>
      <c r="C61" s="879" t="s">
        <v>4268</v>
      </c>
      <c r="D61" s="880"/>
      <c r="G61" s="306" t="s">
        <v>4269</v>
      </c>
    </row>
    <row r="62" spans="2:7" ht="16.5" customHeight="1">
      <c r="B62" s="879"/>
      <c r="C62" s="879" t="s">
        <v>4270</v>
      </c>
      <c r="D62" s="880"/>
      <c r="G62" s="306" t="s">
        <v>4271</v>
      </c>
    </row>
    <row r="63" spans="2:7" ht="16.5" customHeight="1">
      <c r="B63" s="879"/>
      <c r="C63" s="879" t="s">
        <v>4272</v>
      </c>
      <c r="D63" s="880" t="s">
        <v>4203</v>
      </c>
      <c r="G63" s="306" t="s">
        <v>4273</v>
      </c>
    </row>
    <row r="64" spans="2:7" ht="16.5" customHeight="1">
      <c r="B64" s="879"/>
      <c r="C64" s="879" t="s">
        <v>4274</v>
      </c>
      <c r="D64" s="880"/>
      <c r="G64" s="306" t="s">
        <v>4275</v>
      </c>
    </row>
    <row r="65" spans="2:7" ht="75">
      <c r="B65" s="879"/>
      <c r="C65" s="879" t="s">
        <v>4276</v>
      </c>
      <c r="D65" s="880" t="s">
        <v>4277</v>
      </c>
      <c r="G65" s="306" t="s">
        <v>4278</v>
      </c>
    </row>
    <row r="66" spans="2:7" ht="16.5" customHeight="1">
      <c r="B66" s="879"/>
      <c r="C66" s="879" t="s">
        <v>4279</v>
      </c>
      <c r="D66" s="880" t="s">
        <v>4203</v>
      </c>
      <c r="G66" s="306" t="s">
        <v>4280</v>
      </c>
    </row>
    <row r="67" spans="2:7" ht="16.5" customHeight="1">
      <c r="B67" s="879"/>
      <c r="C67" s="879" t="s">
        <v>4281</v>
      </c>
      <c r="D67" s="880"/>
      <c r="G67" s="306" t="s">
        <v>4282</v>
      </c>
    </row>
    <row r="68" spans="2:7" ht="16.5" customHeight="1">
      <c r="B68" s="879"/>
      <c r="C68" s="879" t="s">
        <v>4283</v>
      </c>
      <c r="D68" s="880"/>
      <c r="G68" s="306" t="s">
        <v>4284</v>
      </c>
    </row>
    <row r="69" spans="2:7" ht="16.5" customHeight="1">
      <c r="B69" s="879"/>
      <c r="C69" s="879" t="s">
        <v>4285</v>
      </c>
      <c r="D69" s="880"/>
      <c r="G69" s="306" t="s">
        <v>4286</v>
      </c>
    </row>
    <row r="70" spans="2:7" ht="16.5" customHeight="1">
      <c r="B70" s="879"/>
      <c r="C70" s="879" t="s">
        <v>4287</v>
      </c>
      <c r="D70" s="880"/>
      <c r="G70" s="306" t="s">
        <v>4288</v>
      </c>
    </row>
    <row r="71" spans="2:7" ht="16.5" customHeight="1">
      <c r="B71" s="879"/>
      <c r="C71" s="879" t="s">
        <v>4289</v>
      </c>
      <c r="D71" s="880" t="s">
        <v>4290</v>
      </c>
      <c r="G71" s="306" t="s">
        <v>4291</v>
      </c>
    </row>
    <row r="72" spans="2:7" ht="16.5" customHeight="1">
      <c r="B72" s="879"/>
      <c r="C72" s="879" t="s">
        <v>4292</v>
      </c>
      <c r="D72" s="880"/>
      <c r="G72" s="306" t="s">
        <v>4293</v>
      </c>
    </row>
    <row r="73" spans="2:7" ht="16.5" customHeight="1">
      <c r="B73" s="879"/>
      <c r="C73" s="879" t="s">
        <v>4294</v>
      </c>
      <c r="D73" s="880" t="s">
        <v>4295</v>
      </c>
      <c r="G73" s="306" t="s">
        <v>4296</v>
      </c>
    </row>
    <row r="74" spans="2:7" ht="16.5" customHeight="1">
      <c r="B74" s="879"/>
      <c r="C74" s="879" t="s">
        <v>4297</v>
      </c>
      <c r="D74" s="880"/>
      <c r="G74" s="306" t="s">
        <v>4298</v>
      </c>
    </row>
    <row r="75" spans="2:7" ht="16.5" customHeight="1">
      <c r="B75" s="879"/>
      <c r="C75" s="879" t="s">
        <v>4299</v>
      </c>
      <c r="D75" s="880"/>
      <c r="G75" s="306" t="s">
        <v>4300</v>
      </c>
    </row>
    <row r="76" spans="2:7" ht="16.5" customHeight="1">
      <c r="B76" s="879"/>
      <c r="C76" s="879" t="s">
        <v>4301</v>
      </c>
      <c r="D76" s="880"/>
      <c r="G76" s="306" t="s">
        <v>4302</v>
      </c>
    </row>
    <row r="77" spans="2:7" ht="16.5" customHeight="1">
      <c r="B77" s="879"/>
      <c r="C77" s="879" t="s">
        <v>4303</v>
      </c>
      <c r="D77" s="880"/>
      <c r="G77" s="306" t="s">
        <v>4304</v>
      </c>
    </row>
    <row r="78" spans="2:7" ht="16.5" customHeight="1">
      <c r="B78" s="879"/>
      <c r="C78" s="879" t="s">
        <v>4305</v>
      </c>
      <c r="D78" s="880"/>
      <c r="G78" s="306" t="s">
        <v>4306</v>
      </c>
    </row>
    <row r="79" spans="2:7" ht="16.5" customHeight="1">
      <c r="B79" s="879"/>
      <c r="C79" s="879" t="s">
        <v>4307</v>
      </c>
      <c r="D79" s="880"/>
      <c r="G79" s="306" t="s">
        <v>4308</v>
      </c>
    </row>
    <row r="80" spans="2:7" ht="16.5" customHeight="1">
      <c r="B80" s="879"/>
      <c r="C80" s="879" t="s">
        <v>4309</v>
      </c>
      <c r="D80" s="880" t="s">
        <v>4310</v>
      </c>
      <c r="G80" s="306" t="s">
        <v>4311</v>
      </c>
    </row>
    <row r="81" spans="2:7" ht="16.5" customHeight="1">
      <c r="B81" s="879"/>
      <c r="C81" s="879" t="s">
        <v>4312</v>
      </c>
      <c r="D81" s="880"/>
      <c r="G81" s="306" t="s">
        <v>4313</v>
      </c>
    </row>
    <row r="82" spans="2:7" ht="16.5" customHeight="1">
      <c r="B82" s="879"/>
      <c r="C82" s="879" t="s">
        <v>4314</v>
      </c>
      <c r="D82" s="880"/>
      <c r="G82" s="306" t="s">
        <v>4315</v>
      </c>
    </row>
    <row r="83" spans="2:7" ht="16.5" customHeight="1">
      <c r="B83" s="879"/>
      <c r="C83" s="879" t="s">
        <v>4316</v>
      </c>
      <c r="D83" s="880"/>
      <c r="G83" s="306" t="s">
        <v>4317</v>
      </c>
    </row>
    <row r="84" spans="2:7" ht="16.5" customHeight="1">
      <c r="B84" s="879"/>
      <c r="C84" s="879" t="s">
        <v>4318</v>
      </c>
      <c r="D84" s="880"/>
      <c r="G84" s="306" t="s">
        <v>4319</v>
      </c>
    </row>
    <row r="85" spans="2:7" ht="16.5" customHeight="1">
      <c r="B85" s="879"/>
      <c r="C85" s="879" t="s">
        <v>4320</v>
      </c>
      <c r="D85" s="880"/>
      <c r="G85" s="306" t="s">
        <v>4321</v>
      </c>
    </row>
    <row r="86" spans="2:7" ht="16.5" customHeight="1">
      <c r="B86" s="879"/>
      <c r="C86" s="879" t="s">
        <v>4322</v>
      </c>
      <c r="D86" s="880"/>
      <c r="G86" s="306" t="s">
        <v>4323</v>
      </c>
    </row>
    <row r="87" spans="2:7" ht="16.5" customHeight="1">
      <c r="B87" s="879"/>
      <c r="C87" s="879" t="s">
        <v>4096</v>
      </c>
      <c r="D87" s="880"/>
      <c r="G87" s="306" t="s">
        <v>4324</v>
      </c>
    </row>
    <row r="88" spans="2:7" ht="16.5" customHeight="1">
      <c r="B88" s="879"/>
      <c r="C88" s="879" t="s">
        <v>4325</v>
      </c>
      <c r="D88" s="880"/>
      <c r="G88" s="306" t="s">
        <v>4326</v>
      </c>
    </row>
    <row r="89" spans="2:7" ht="16.5" customHeight="1">
      <c r="B89" s="879"/>
      <c r="C89" s="879" t="s">
        <v>4327</v>
      </c>
      <c r="D89" s="880"/>
      <c r="G89" s="306" t="s">
        <v>4328</v>
      </c>
    </row>
    <row r="90" spans="2:7" ht="16.5" customHeight="1">
      <c r="B90" s="879"/>
      <c r="C90" s="879" t="s">
        <v>4329</v>
      </c>
      <c r="D90" s="880"/>
      <c r="G90" s="306" t="s">
        <v>4330</v>
      </c>
    </row>
    <row r="91" spans="2:7" ht="16.5" customHeight="1">
      <c r="B91" s="879"/>
      <c r="C91" s="879" t="s">
        <v>4331</v>
      </c>
      <c r="D91" s="880"/>
      <c r="G91" s="306" t="s">
        <v>4332</v>
      </c>
    </row>
    <row r="92" spans="2:7" ht="16.5" customHeight="1">
      <c r="B92" s="879"/>
      <c r="C92" s="879" t="s">
        <v>4333</v>
      </c>
      <c r="D92" s="880"/>
      <c r="G92" s="306" t="s">
        <v>4334</v>
      </c>
    </row>
    <row r="93" spans="2:7" ht="16.5" customHeight="1">
      <c r="B93" s="879"/>
      <c r="C93" s="879" t="s">
        <v>4335</v>
      </c>
      <c r="D93" s="880"/>
      <c r="G93" s="306" t="s">
        <v>4336</v>
      </c>
    </row>
    <row r="94" spans="2:7" ht="16.5" customHeight="1">
      <c r="B94" s="879"/>
      <c r="C94" s="879" t="s">
        <v>4337</v>
      </c>
      <c r="D94" s="880"/>
      <c r="G94" s="306" t="s">
        <v>4338</v>
      </c>
    </row>
    <row r="95" spans="2:7" ht="16.5" customHeight="1">
      <c r="B95" s="879"/>
      <c r="C95" s="879" t="s">
        <v>4339</v>
      </c>
      <c r="D95" s="880" t="s">
        <v>4340</v>
      </c>
      <c r="G95" s="306" t="s">
        <v>4341</v>
      </c>
    </row>
    <row r="96" spans="2:7" ht="16.5" customHeight="1">
      <c r="B96" s="879"/>
      <c r="C96" s="879" t="s">
        <v>4342</v>
      </c>
      <c r="D96" s="880" t="s">
        <v>4343</v>
      </c>
      <c r="G96" s="306" t="s">
        <v>4344</v>
      </c>
    </row>
  </sheetData>
  <sheetProtection algorithmName="SHA-512" hashValue="3C1673PelTMoLvfjMLiQbU6bsSFG/pd74VplrRMcZmmQsqKgY3NDuUilLBEogRm5yUzZG1WMjmFc1VFrB2szGA==" saltValue="CgDPkyYJcIMHmI2nWm/RNw==" spinCount="100000"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9745" r:id="rId3" name="Option Button 1">
              <controlPr defaultSize="0" autoFill="0" autoLine="0" autoPict="0">
                <anchor moveWithCells="1">
                  <from>
                    <xdr:col>1</xdr:col>
                    <xdr:colOff>438150</xdr:colOff>
                    <xdr:row>6</xdr:row>
                    <xdr:rowOff>31750</xdr:rowOff>
                  </from>
                  <to>
                    <xdr:col>1</xdr:col>
                    <xdr:colOff>984250</xdr:colOff>
                    <xdr:row>6</xdr:row>
                    <xdr:rowOff>184150</xdr:rowOff>
                  </to>
                </anchor>
              </controlPr>
            </control>
          </mc:Choice>
        </mc:AlternateContent>
        <mc:AlternateContent xmlns:mc="http://schemas.openxmlformats.org/markup-compatibility/2006">
          <mc:Choice Requires="x14">
            <control shapeId="159746" r:id="rId4" name="Option Button 2">
              <controlPr defaultSize="0" autoFill="0" autoLine="0" autoPict="0">
                <anchor moveWithCells="1">
                  <from>
                    <xdr:col>1</xdr:col>
                    <xdr:colOff>438150</xdr:colOff>
                    <xdr:row>7</xdr:row>
                    <xdr:rowOff>31750</xdr:rowOff>
                  </from>
                  <to>
                    <xdr:col>1</xdr:col>
                    <xdr:colOff>984250</xdr:colOff>
                    <xdr:row>7</xdr:row>
                    <xdr:rowOff>184150</xdr:rowOff>
                  </to>
                </anchor>
              </controlPr>
            </control>
          </mc:Choice>
        </mc:AlternateContent>
        <mc:AlternateContent xmlns:mc="http://schemas.openxmlformats.org/markup-compatibility/2006">
          <mc:Choice Requires="x14">
            <control shapeId="159747" r:id="rId5" name="Option Button 3">
              <controlPr defaultSize="0" autoFill="0" autoLine="0" autoPict="0">
                <anchor moveWithCells="1">
                  <from>
                    <xdr:col>1</xdr:col>
                    <xdr:colOff>438150</xdr:colOff>
                    <xdr:row>8</xdr:row>
                    <xdr:rowOff>31750</xdr:rowOff>
                  </from>
                  <to>
                    <xdr:col>1</xdr:col>
                    <xdr:colOff>984250</xdr:colOff>
                    <xdr:row>8</xdr:row>
                    <xdr:rowOff>184150</xdr:rowOff>
                  </to>
                </anchor>
              </controlPr>
            </control>
          </mc:Choice>
        </mc:AlternateContent>
        <mc:AlternateContent xmlns:mc="http://schemas.openxmlformats.org/markup-compatibility/2006">
          <mc:Choice Requires="x14">
            <control shapeId="159748" r:id="rId6" name="Option Button 4">
              <controlPr defaultSize="0" autoFill="0" autoLine="0" autoPict="0">
                <anchor moveWithCells="1">
                  <from>
                    <xdr:col>1</xdr:col>
                    <xdr:colOff>438150</xdr:colOff>
                    <xdr:row>9</xdr:row>
                    <xdr:rowOff>31750</xdr:rowOff>
                  </from>
                  <to>
                    <xdr:col>1</xdr:col>
                    <xdr:colOff>984250</xdr:colOff>
                    <xdr:row>9</xdr:row>
                    <xdr:rowOff>184150</xdr:rowOff>
                  </to>
                </anchor>
              </controlPr>
            </control>
          </mc:Choice>
        </mc:AlternateContent>
        <mc:AlternateContent xmlns:mc="http://schemas.openxmlformats.org/markup-compatibility/2006">
          <mc:Choice Requires="x14">
            <control shapeId="159749" r:id="rId7" name="Option Button 5">
              <controlPr defaultSize="0" autoFill="0" autoLine="0" autoPict="0">
                <anchor moveWithCells="1">
                  <from>
                    <xdr:col>1</xdr:col>
                    <xdr:colOff>438150</xdr:colOff>
                    <xdr:row>10</xdr:row>
                    <xdr:rowOff>31750</xdr:rowOff>
                  </from>
                  <to>
                    <xdr:col>1</xdr:col>
                    <xdr:colOff>984250</xdr:colOff>
                    <xdr:row>10</xdr:row>
                    <xdr:rowOff>184150</xdr:rowOff>
                  </to>
                </anchor>
              </controlPr>
            </control>
          </mc:Choice>
        </mc:AlternateContent>
        <mc:AlternateContent xmlns:mc="http://schemas.openxmlformats.org/markup-compatibility/2006">
          <mc:Choice Requires="x14">
            <control shapeId="159750" r:id="rId8" name="Option Button 6">
              <controlPr defaultSize="0" autoFill="0" autoLine="0" autoPict="0">
                <anchor moveWithCells="1">
                  <from>
                    <xdr:col>1</xdr:col>
                    <xdr:colOff>438150</xdr:colOff>
                    <xdr:row>11</xdr:row>
                    <xdr:rowOff>31750</xdr:rowOff>
                  </from>
                  <to>
                    <xdr:col>1</xdr:col>
                    <xdr:colOff>984250</xdr:colOff>
                    <xdr:row>11</xdr:row>
                    <xdr:rowOff>184150</xdr:rowOff>
                  </to>
                </anchor>
              </controlPr>
            </control>
          </mc:Choice>
        </mc:AlternateContent>
        <mc:AlternateContent xmlns:mc="http://schemas.openxmlformats.org/markup-compatibility/2006">
          <mc:Choice Requires="x14">
            <control shapeId="159751" r:id="rId9" name="Option Button 7">
              <controlPr defaultSize="0" autoFill="0" autoLine="0" autoPict="0">
                <anchor moveWithCells="1">
                  <from>
                    <xdr:col>1</xdr:col>
                    <xdr:colOff>438150</xdr:colOff>
                    <xdr:row>12</xdr:row>
                    <xdr:rowOff>31750</xdr:rowOff>
                  </from>
                  <to>
                    <xdr:col>1</xdr:col>
                    <xdr:colOff>984250</xdr:colOff>
                    <xdr:row>12</xdr:row>
                    <xdr:rowOff>184150</xdr:rowOff>
                  </to>
                </anchor>
              </controlPr>
            </control>
          </mc:Choice>
        </mc:AlternateContent>
        <mc:AlternateContent xmlns:mc="http://schemas.openxmlformats.org/markup-compatibility/2006">
          <mc:Choice Requires="x14">
            <control shapeId="159752" r:id="rId10" name="Option Button 8">
              <controlPr defaultSize="0" autoFill="0" autoLine="0" autoPict="0">
                <anchor moveWithCells="1">
                  <from>
                    <xdr:col>1</xdr:col>
                    <xdr:colOff>438150</xdr:colOff>
                    <xdr:row>13</xdr:row>
                    <xdr:rowOff>31750</xdr:rowOff>
                  </from>
                  <to>
                    <xdr:col>1</xdr:col>
                    <xdr:colOff>984250</xdr:colOff>
                    <xdr:row>13</xdr:row>
                    <xdr:rowOff>184150</xdr:rowOff>
                  </to>
                </anchor>
              </controlPr>
            </control>
          </mc:Choice>
        </mc:AlternateContent>
        <mc:AlternateContent xmlns:mc="http://schemas.openxmlformats.org/markup-compatibility/2006">
          <mc:Choice Requires="x14">
            <control shapeId="159753" r:id="rId11" name="Option Button 9">
              <controlPr defaultSize="0" autoFill="0" autoLine="0" autoPict="0">
                <anchor moveWithCells="1">
                  <from>
                    <xdr:col>1</xdr:col>
                    <xdr:colOff>438150</xdr:colOff>
                    <xdr:row>14</xdr:row>
                    <xdr:rowOff>31750</xdr:rowOff>
                  </from>
                  <to>
                    <xdr:col>1</xdr:col>
                    <xdr:colOff>984250</xdr:colOff>
                    <xdr:row>14</xdr:row>
                    <xdr:rowOff>184150</xdr:rowOff>
                  </to>
                </anchor>
              </controlPr>
            </control>
          </mc:Choice>
        </mc:AlternateContent>
        <mc:AlternateContent xmlns:mc="http://schemas.openxmlformats.org/markup-compatibility/2006">
          <mc:Choice Requires="x14">
            <control shapeId="159754" r:id="rId12" name="Option Button 10">
              <controlPr defaultSize="0" autoFill="0" autoLine="0" autoPict="0">
                <anchor moveWithCells="1">
                  <from>
                    <xdr:col>1</xdr:col>
                    <xdr:colOff>438150</xdr:colOff>
                    <xdr:row>15</xdr:row>
                    <xdr:rowOff>31750</xdr:rowOff>
                  </from>
                  <to>
                    <xdr:col>1</xdr:col>
                    <xdr:colOff>984250</xdr:colOff>
                    <xdr:row>15</xdr:row>
                    <xdr:rowOff>184150</xdr:rowOff>
                  </to>
                </anchor>
              </controlPr>
            </control>
          </mc:Choice>
        </mc:AlternateContent>
        <mc:AlternateContent xmlns:mc="http://schemas.openxmlformats.org/markup-compatibility/2006">
          <mc:Choice Requires="x14">
            <control shapeId="159755" r:id="rId13" name="Option Button 11">
              <controlPr defaultSize="0" autoFill="0" autoLine="0" autoPict="0">
                <anchor moveWithCells="1">
                  <from>
                    <xdr:col>1</xdr:col>
                    <xdr:colOff>438150</xdr:colOff>
                    <xdr:row>16</xdr:row>
                    <xdr:rowOff>31750</xdr:rowOff>
                  </from>
                  <to>
                    <xdr:col>1</xdr:col>
                    <xdr:colOff>984250</xdr:colOff>
                    <xdr:row>16</xdr:row>
                    <xdr:rowOff>184150</xdr:rowOff>
                  </to>
                </anchor>
              </controlPr>
            </control>
          </mc:Choice>
        </mc:AlternateContent>
        <mc:AlternateContent xmlns:mc="http://schemas.openxmlformats.org/markup-compatibility/2006">
          <mc:Choice Requires="x14">
            <control shapeId="159756" r:id="rId14" name="Option Button 12">
              <controlPr defaultSize="0" autoFill="0" autoLine="0" autoPict="0">
                <anchor moveWithCells="1">
                  <from>
                    <xdr:col>1</xdr:col>
                    <xdr:colOff>438150</xdr:colOff>
                    <xdr:row>17</xdr:row>
                    <xdr:rowOff>31750</xdr:rowOff>
                  </from>
                  <to>
                    <xdr:col>1</xdr:col>
                    <xdr:colOff>984250</xdr:colOff>
                    <xdr:row>17</xdr:row>
                    <xdr:rowOff>184150</xdr:rowOff>
                  </to>
                </anchor>
              </controlPr>
            </control>
          </mc:Choice>
        </mc:AlternateContent>
        <mc:AlternateContent xmlns:mc="http://schemas.openxmlformats.org/markup-compatibility/2006">
          <mc:Choice Requires="x14">
            <control shapeId="159757" r:id="rId15" name="Option Button 13">
              <controlPr defaultSize="0" autoFill="0" autoLine="0" autoPict="0">
                <anchor moveWithCells="1">
                  <from>
                    <xdr:col>1</xdr:col>
                    <xdr:colOff>438150</xdr:colOff>
                    <xdr:row>18</xdr:row>
                    <xdr:rowOff>31750</xdr:rowOff>
                  </from>
                  <to>
                    <xdr:col>1</xdr:col>
                    <xdr:colOff>984250</xdr:colOff>
                    <xdr:row>18</xdr:row>
                    <xdr:rowOff>184150</xdr:rowOff>
                  </to>
                </anchor>
              </controlPr>
            </control>
          </mc:Choice>
        </mc:AlternateContent>
        <mc:AlternateContent xmlns:mc="http://schemas.openxmlformats.org/markup-compatibility/2006">
          <mc:Choice Requires="x14">
            <control shapeId="159758" r:id="rId16" name="Option Button 14">
              <controlPr defaultSize="0" autoFill="0" autoLine="0" autoPict="0">
                <anchor moveWithCells="1">
                  <from>
                    <xdr:col>1</xdr:col>
                    <xdr:colOff>438150</xdr:colOff>
                    <xdr:row>19</xdr:row>
                    <xdr:rowOff>31750</xdr:rowOff>
                  </from>
                  <to>
                    <xdr:col>1</xdr:col>
                    <xdr:colOff>984250</xdr:colOff>
                    <xdr:row>19</xdr:row>
                    <xdr:rowOff>184150</xdr:rowOff>
                  </to>
                </anchor>
              </controlPr>
            </control>
          </mc:Choice>
        </mc:AlternateContent>
        <mc:AlternateContent xmlns:mc="http://schemas.openxmlformats.org/markup-compatibility/2006">
          <mc:Choice Requires="x14">
            <control shapeId="159759" r:id="rId17" name="Option Button 15">
              <controlPr defaultSize="0" autoFill="0" autoLine="0" autoPict="0">
                <anchor moveWithCells="1">
                  <from>
                    <xdr:col>1</xdr:col>
                    <xdr:colOff>438150</xdr:colOff>
                    <xdr:row>20</xdr:row>
                    <xdr:rowOff>31750</xdr:rowOff>
                  </from>
                  <to>
                    <xdr:col>1</xdr:col>
                    <xdr:colOff>984250</xdr:colOff>
                    <xdr:row>20</xdr:row>
                    <xdr:rowOff>184150</xdr:rowOff>
                  </to>
                </anchor>
              </controlPr>
            </control>
          </mc:Choice>
        </mc:AlternateContent>
        <mc:AlternateContent xmlns:mc="http://schemas.openxmlformats.org/markup-compatibility/2006">
          <mc:Choice Requires="x14">
            <control shapeId="159760" r:id="rId18" name="Option Button 16">
              <controlPr defaultSize="0" autoFill="0" autoLine="0" autoPict="0">
                <anchor moveWithCells="1">
                  <from>
                    <xdr:col>1</xdr:col>
                    <xdr:colOff>438150</xdr:colOff>
                    <xdr:row>21</xdr:row>
                    <xdr:rowOff>31750</xdr:rowOff>
                  </from>
                  <to>
                    <xdr:col>1</xdr:col>
                    <xdr:colOff>984250</xdr:colOff>
                    <xdr:row>21</xdr:row>
                    <xdr:rowOff>184150</xdr:rowOff>
                  </to>
                </anchor>
              </controlPr>
            </control>
          </mc:Choice>
        </mc:AlternateContent>
        <mc:AlternateContent xmlns:mc="http://schemas.openxmlformats.org/markup-compatibility/2006">
          <mc:Choice Requires="x14">
            <control shapeId="159761" r:id="rId19" name="Option Button 17">
              <controlPr defaultSize="0" autoFill="0" autoLine="0" autoPict="0">
                <anchor moveWithCells="1">
                  <from>
                    <xdr:col>1</xdr:col>
                    <xdr:colOff>438150</xdr:colOff>
                    <xdr:row>22</xdr:row>
                    <xdr:rowOff>31750</xdr:rowOff>
                  </from>
                  <to>
                    <xdr:col>1</xdr:col>
                    <xdr:colOff>984250</xdr:colOff>
                    <xdr:row>22</xdr:row>
                    <xdr:rowOff>184150</xdr:rowOff>
                  </to>
                </anchor>
              </controlPr>
            </control>
          </mc:Choice>
        </mc:AlternateContent>
        <mc:AlternateContent xmlns:mc="http://schemas.openxmlformats.org/markup-compatibility/2006">
          <mc:Choice Requires="x14">
            <control shapeId="159762" r:id="rId20" name="Option Button 18">
              <controlPr defaultSize="0" autoFill="0" autoLine="0" autoPict="0">
                <anchor moveWithCells="1">
                  <from>
                    <xdr:col>1</xdr:col>
                    <xdr:colOff>438150</xdr:colOff>
                    <xdr:row>23</xdr:row>
                    <xdr:rowOff>31750</xdr:rowOff>
                  </from>
                  <to>
                    <xdr:col>1</xdr:col>
                    <xdr:colOff>984250</xdr:colOff>
                    <xdr:row>23</xdr:row>
                    <xdr:rowOff>184150</xdr:rowOff>
                  </to>
                </anchor>
              </controlPr>
            </control>
          </mc:Choice>
        </mc:AlternateContent>
        <mc:AlternateContent xmlns:mc="http://schemas.openxmlformats.org/markup-compatibility/2006">
          <mc:Choice Requires="x14">
            <control shapeId="159763" r:id="rId21" name="Option Button 19">
              <controlPr defaultSize="0" autoFill="0" autoLine="0" autoPict="0">
                <anchor moveWithCells="1">
                  <from>
                    <xdr:col>1</xdr:col>
                    <xdr:colOff>438150</xdr:colOff>
                    <xdr:row>24</xdr:row>
                    <xdr:rowOff>31750</xdr:rowOff>
                  </from>
                  <to>
                    <xdr:col>1</xdr:col>
                    <xdr:colOff>984250</xdr:colOff>
                    <xdr:row>24</xdr:row>
                    <xdr:rowOff>184150</xdr:rowOff>
                  </to>
                </anchor>
              </controlPr>
            </control>
          </mc:Choice>
        </mc:AlternateContent>
        <mc:AlternateContent xmlns:mc="http://schemas.openxmlformats.org/markup-compatibility/2006">
          <mc:Choice Requires="x14">
            <control shapeId="159764" r:id="rId22" name="Option Button 20">
              <controlPr defaultSize="0" autoFill="0" autoLine="0" autoPict="0">
                <anchor moveWithCells="1">
                  <from>
                    <xdr:col>1</xdr:col>
                    <xdr:colOff>438150</xdr:colOff>
                    <xdr:row>25</xdr:row>
                    <xdr:rowOff>31750</xdr:rowOff>
                  </from>
                  <to>
                    <xdr:col>1</xdr:col>
                    <xdr:colOff>984250</xdr:colOff>
                    <xdr:row>25</xdr:row>
                    <xdr:rowOff>184150</xdr:rowOff>
                  </to>
                </anchor>
              </controlPr>
            </control>
          </mc:Choice>
        </mc:AlternateContent>
        <mc:AlternateContent xmlns:mc="http://schemas.openxmlformats.org/markup-compatibility/2006">
          <mc:Choice Requires="x14">
            <control shapeId="159765" r:id="rId23" name="Option Button 21">
              <controlPr defaultSize="0" autoFill="0" autoLine="0" autoPict="0">
                <anchor moveWithCells="1">
                  <from>
                    <xdr:col>1</xdr:col>
                    <xdr:colOff>438150</xdr:colOff>
                    <xdr:row>26</xdr:row>
                    <xdr:rowOff>31750</xdr:rowOff>
                  </from>
                  <to>
                    <xdr:col>1</xdr:col>
                    <xdr:colOff>984250</xdr:colOff>
                    <xdr:row>26</xdr:row>
                    <xdr:rowOff>184150</xdr:rowOff>
                  </to>
                </anchor>
              </controlPr>
            </control>
          </mc:Choice>
        </mc:AlternateContent>
        <mc:AlternateContent xmlns:mc="http://schemas.openxmlformats.org/markup-compatibility/2006">
          <mc:Choice Requires="x14">
            <control shapeId="159766" r:id="rId24" name="Option Button 22">
              <controlPr defaultSize="0" autoFill="0" autoLine="0" autoPict="0">
                <anchor moveWithCells="1">
                  <from>
                    <xdr:col>1</xdr:col>
                    <xdr:colOff>438150</xdr:colOff>
                    <xdr:row>27</xdr:row>
                    <xdr:rowOff>31750</xdr:rowOff>
                  </from>
                  <to>
                    <xdr:col>1</xdr:col>
                    <xdr:colOff>984250</xdr:colOff>
                    <xdr:row>27</xdr:row>
                    <xdr:rowOff>184150</xdr:rowOff>
                  </to>
                </anchor>
              </controlPr>
            </control>
          </mc:Choice>
        </mc:AlternateContent>
        <mc:AlternateContent xmlns:mc="http://schemas.openxmlformats.org/markup-compatibility/2006">
          <mc:Choice Requires="x14">
            <control shapeId="159767" r:id="rId25" name="Option Button 23">
              <controlPr defaultSize="0" autoFill="0" autoLine="0" autoPict="0">
                <anchor moveWithCells="1">
                  <from>
                    <xdr:col>1</xdr:col>
                    <xdr:colOff>438150</xdr:colOff>
                    <xdr:row>28</xdr:row>
                    <xdr:rowOff>31750</xdr:rowOff>
                  </from>
                  <to>
                    <xdr:col>1</xdr:col>
                    <xdr:colOff>984250</xdr:colOff>
                    <xdr:row>28</xdr:row>
                    <xdr:rowOff>184150</xdr:rowOff>
                  </to>
                </anchor>
              </controlPr>
            </control>
          </mc:Choice>
        </mc:AlternateContent>
        <mc:AlternateContent xmlns:mc="http://schemas.openxmlformats.org/markup-compatibility/2006">
          <mc:Choice Requires="x14">
            <control shapeId="159768" r:id="rId26" name="Option Button 24">
              <controlPr defaultSize="0" autoFill="0" autoLine="0" autoPict="0">
                <anchor moveWithCells="1">
                  <from>
                    <xdr:col>1</xdr:col>
                    <xdr:colOff>438150</xdr:colOff>
                    <xdr:row>29</xdr:row>
                    <xdr:rowOff>31750</xdr:rowOff>
                  </from>
                  <to>
                    <xdr:col>1</xdr:col>
                    <xdr:colOff>984250</xdr:colOff>
                    <xdr:row>29</xdr:row>
                    <xdr:rowOff>184150</xdr:rowOff>
                  </to>
                </anchor>
              </controlPr>
            </control>
          </mc:Choice>
        </mc:AlternateContent>
        <mc:AlternateContent xmlns:mc="http://schemas.openxmlformats.org/markup-compatibility/2006">
          <mc:Choice Requires="x14">
            <control shapeId="159769" r:id="rId27" name="Option Button 25">
              <controlPr defaultSize="0" autoFill="0" autoLine="0" autoPict="0">
                <anchor moveWithCells="1">
                  <from>
                    <xdr:col>1</xdr:col>
                    <xdr:colOff>438150</xdr:colOff>
                    <xdr:row>30</xdr:row>
                    <xdr:rowOff>31750</xdr:rowOff>
                  </from>
                  <to>
                    <xdr:col>1</xdr:col>
                    <xdr:colOff>984250</xdr:colOff>
                    <xdr:row>30</xdr:row>
                    <xdr:rowOff>184150</xdr:rowOff>
                  </to>
                </anchor>
              </controlPr>
            </control>
          </mc:Choice>
        </mc:AlternateContent>
        <mc:AlternateContent xmlns:mc="http://schemas.openxmlformats.org/markup-compatibility/2006">
          <mc:Choice Requires="x14">
            <control shapeId="159770" r:id="rId28" name="Option Button 26">
              <controlPr defaultSize="0" autoFill="0" autoLine="0" autoPict="0">
                <anchor moveWithCells="1">
                  <from>
                    <xdr:col>1</xdr:col>
                    <xdr:colOff>438150</xdr:colOff>
                    <xdr:row>31</xdr:row>
                    <xdr:rowOff>31750</xdr:rowOff>
                  </from>
                  <to>
                    <xdr:col>1</xdr:col>
                    <xdr:colOff>984250</xdr:colOff>
                    <xdr:row>31</xdr:row>
                    <xdr:rowOff>184150</xdr:rowOff>
                  </to>
                </anchor>
              </controlPr>
            </control>
          </mc:Choice>
        </mc:AlternateContent>
        <mc:AlternateContent xmlns:mc="http://schemas.openxmlformats.org/markup-compatibility/2006">
          <mc:Choice Requires="x14">
            <control shapeId="159771" r:id="rId29" name="Option Button 27">
              <controlPr defaultSize="0" autoFill="0" autoLine="0" autoPict="0">
                <anchor moveWithCells="1">
                  <from>
                    <xdr:col>1</xdr:col>
                    <xdr:colOff>438150</xdr:colOff>
                    <xdr:row>32</xdr:row>
                    <xdr:rowOff>31750</xdr:rowOff>
                  </from>
                  <to>
                    <xdr:col>1</xdr:col>
                    <xdr:colOff>984250</xdr:colOff>
                    <xdr:row>32</xdr:row>
                    <xdr:rowOff>184150</xdr:rowOff>
                  </to>
                </anchor>
              </controlPr>
            </control>
          </mc:Choice>
        </mc:AlternateContent>
        <mc:AlternateContent xmlns:mc="http://schemas.openxmlformats.org/markup-compatibility/2006">
          <mc:Choice Requires="x14">
            <control shapeId="159772" r:id="rId30" name="Option Button 28">
              <controlPr defaultSize="0" autoFill="0" autoLine="0" autoPict="0">
                <anchor moveWithCells="1">
                  <from>
                    <xdr:col>1</xdr:col>
                    <xdr:colOff>438150</xdr:colOff>
                    <xdr:row>33</xdr:row>
                    <xdr:rowOff>31750</xdr:rowOff>
                  </from>
                  <to>
                    <xdr:col>1</xdr:col>
                    <xdr:colOff>984250</xdr:colOff>
                    <xdr:row>33</xdr:row>
                    <xdr:rowOff>184150</xdr:rowOff>
                  </to>
                </anchor>
              </controlPr>
            </control>
          </mc:Choice>
        </mc:AlternateContent>
        <mc:AlternateContent xmlns:mc="http://schemas.openxmlformats.org/markup-compatibility/2006">
          <mc:Choice Requires="x14">
            <control shapeId="159773" r:id="rId31" name="Option Button 29">
              <controlPr defaultSize="0" autoFill="0" autoLine="0" autoPict="0">
                <anchor moveWithCells="1">
                  <from>
                    <xdr:col>1</xdr:col>
                    <xdr:colOff>438150</xdr:colOff>
                    <xdr:row>34</xdr:row>
                    <xdr:rowOff>31750</xdr:rowOff>
                  </from>
                  <to>
                    <xdr:col>1</xdr:col>
                    <xdr:colOff>984250</xdr:colOff>
                    <xdr:row>34</xdr:row>
                    <xdr:rowOff>184150</xdr:rowOff>
                  </to>
                </anchor>
              </controlPr>
            </control>
          </mc:Choice>
        </mc:AlternateContent>
        <mc:AlternateContent xmlns:mc="http://schemas.openxmlformats.org/markup-compatibility/2006">
          <mc:Choice Requires="x14">
            <control shapeId="159774" r:id="rId32" name="Option Button 30">
              <controlPr defaultSize="0" autoFill="0" autoLine="0" autoPict="0">
                <anchor moveWithCells="1">
                  <from>
                    <xdr:col>1</xdr:col>
                    <xdr:colOff>438150</xdr:colOff>
                    <xdr:row>35</xdr:row>
                    <xdr:rowOff>31750</xdr:rowOff>
                  </from>
                  <to>
                    <xdr:col>1</xdr:col>
                    <xdr:colOff>984250</xdr:colOff>
                    <xdr:row>35</xdr:row>
                    <xdr:rowOff>184150</xdr:rowOff>
                  </to>
                </anchor>
              </controlPr>
            </control>
          </mc:Choice>
        </mc:AlternateContent>
        <mc:AlternateContent xmlns:mc="http://schemas.openxmlformats.org/markup-compatibility/2006">
          <mc:Choice Requires="x14">
            <control shapeId="159775" r:id="rId33" name="Option Button 31">
              <controlPr defaultSize="0" autoFill="0" autoLine="0" autoPict="0">
                <anchor moveWithCells="1">
                  <from>
                    <xdr:col>1</xdr:col>
                    <xdr:colOff>438150</xdr:colOff>
                    <xdr:row>36</xdr:row>
                    <xdr:rowOff>31750</xdr:rowOff>
                  </from>
                  <to>
                    <xdr:col>1</xdr:col>
                    <xdr:colOff>984250</xdr:colOff>
                    <xdr:row>36</xdr:row>
                    <xdr:rowOff>184150</xdr:rowOff>
                  </to>
                </anchor>
              </controlPr>
            </control>
          </mc:Choice>
        </mc:AlternateContent>
        <mc:AlternateContent xmlns:mc="http://schemas.openxmlformats.org/markup-compatibility/2006">
          <mc:Choice Requires="x14">
            <control shapeId="159776" r:id="rId34" name="Option Button 32">
              <controlPr defaultSize="0" autoFill="0" autoLine="0" autoPict="0">
                <anchor moveWithCells="1">
                  <from>
                    <xdr:col>1</xdr:col>
                    <xdr:colOff>438150</xdr:colOff>
                    <xdr:row>37</xdr:row>
                    <xdr:rowOff>31750</xdr:rowOff>
                  </from>
                  <to>
                    <xdr:col>1</xdr:col>
                    <xdr:colOff>984250</xdr:colOff>
                    <xdr:row>37</xdr:row>
                    <xdr:rowOff>184150</xdr:rowOff>
                  </to>
                </anchor>
              </controlPr>
            </control>
          </mc:Choice>
        </mc:AlternateContent>
        <mc:AlternateContent xmlns:mc="http://schemas.openxmlformats.org/markup-compatibility/2006">
          <mc:Choice Requires="x14">
            <control shapeId="159777" r:id="rId35" name="Option Button 33">
              <controlPr defaultSize="0" autoFill="0" autoLine="0" autoPict="0">
                <anchor moveWithCells="1">
                  <from>
                    <xdr:col>1</xdr:col>
                    <xdr:colOff>438150</xdr:colOff>
                    <xdr:row>38</xdr:row>
                    <xdr:rowOff>31750</xdr:rowOff>
                  </from>
                  <to>
                    <xdr:col>1</xdr:col>
                    <xdr:colOff>984250</xdr:colOff>
                    <xdr:row>38</xdr:row>
                    <xdr:rowOff>184150</xdr:rowOff>
                  </to>
                </anchor>
              </controlPr>
            </control>
          </mc:Choice>
        </mc:AlternateContent>
        <mc:AlternateContent xmlns:mc="http://schemas.openxmlformats.org/markup-compatibility/2006">
          <mc:Choice Requires="x14">
            <control shapeId="159778" r:id="rId36" name="Option Button 34">
              <controlPr defaultSize="0" autoFill="0" autoLine="0" autoPict="0">
                <anchor moveWithCells="1">
                  <from>
                    <xdr:col>1</xdr:col>
                    <xdr:colOff>438150</xdr:colOff>
                    <xdr:row>39</xdr:row>
                    <xdr:rowOff>31750</xdr:rowOff>
                  </from>
                  <to>
                    <xdr:col>1</xdr:col>
                    <xdr:colOff>984250</xdr:colOff>
                    <xdr:row>39</xdr:row>
                    <xdr:rowOff>184150</xdr:rowOff>
                  </to>
                </anchor>
              </controlPr>
            </control>
          </mc:Choice>
        </mc:AlternateContent>
        <mc:AlternateContent xmlns:mc="http://schemas.openxmlformats.org/markup-compatibility/2006">
          <mc:Choice Requires="x14">
            <control shapeId="159779" r:id="rId37" name="Option Button 35">
              <controlPr defaultSize="0" autoFill="0" autoLine="0" autoPict="0">
                <anchor moveWithCells="1">
                  <from>
                    <xdr:col>1</xdr:col>
                    <xdr:colOff>438150</xdr:colOff>
                    <xdr:row>40</xdr:row>
                    <xdr:rowOff>31750</xdr:rowOff>
                  </from>
                  <to>
                    <xdr:col>1</xdr:col>
                    <xdr:colOff>984250</xdr:colOff>
                    <xdr:row>40</xdr:row>
                    <xdr:rowOff>184150</xdr:rowOff>
                  </to>
                </anchor>
              </controlPr>
            </control>
          </mc:Choice>
        </mc:AlternateContent>
        <mc:AlternateContent xmlns:mc="http://schemas.openxmlformats.org/markup-compatibility/2006">
          <mc:Choice Requires="x14">
            <control shapeId="159780" r:id="rId38" name="Option Button 36">
              <controlPr defaultSize="0" autoFill="0" autoLine="0" autoPict="0">
                <anchor moveWithCells="1">
                  <from>
                    <xdr:col>1</xdr:col>
                    <xdr:colOff>438150</xdr:colOff>
                    <xdr:row>41</xdr:row>
                    <xdr:rowOff>31750</xdr:rowOff>
                  </from>
                  <to>
                    <xdr:col>1</xdr:col>
                    <xdr:colOff>984250</xdr:colOff>
                    <xdr:row>41</xdr:row>
                    <xdr:rowOff>184150</xdr:rowOff>
                  </to>
                </anchor>
              </controlPr>
            </control>
          </mc:Choice>
        </mc:AlternateContent>
        <mc:AlternateContent xmlns:mc="http://schemas.openxmlformats.org/markup-compatibility/2006">
          <mc:Choice Requires="x14">
            <control shapeId="159781" r:id="rId39" name="Option Button 37">
              <controlPr defaultSize="0" autoFill="0" autoLine="0" autoPict="0">
                <anchor moveWithCells="1">
                  <from>
                    <xdr:col>1</xdr:col>
                    <xdr:colOff>438150</xdr:colOff>
                    <xdr:row>42</xdr:row>
                    <xdr:rowOff>31750</xdr:rowOff>
                  </from>
                  <to>
                    <xdr:col>1</xdr:col>
                    <xdr:colOff>984250</xdr:colOff>
                    <xdr:row>42</xdr:row>
                    <xdr:rowOff>184150</xdr:rowOff>
                  </to>
                </anchor>
              </controlPr>
            </control>
          </mc:Choice>
        </mc:AlternateContent>
        <mc:AlternateContent xmlns:mc="http://schemas.openxmlformats.org/markup-compatibility/2006">
          <mc:Choice Requires="x14">
            <control shapeId="159782" r:id="rId40" name="Option Button 38">
              <controlPr defaultSize="0" autoFill="0" autoLine="0" autoPict="0">
                <anchor moveWithCells="1">
                  <from>
                    <xdr:col>1</xdr:col>
                    <xdr:colOff>438150</xdr:colOff>
                    <xdr:row>43</xdr:row>
                    <xdr:rowOff>31750</xdr:rowOff>
                  </from>
                  <to>
                    <xdr:col>1</xdr:col>
                    <xdr:colOff>984250</xdr:colOff>
                    <xdr:row>43</xdr:row>
                    <xdr:rowOff>184150</xdr:rowOff>
                  </to>
                </anchor>
              </controlPr>
            </control>
          </mc:Choice>
        </mc:AlternateContent>
        <mc:AlternateContent xmlns:mc="http://schemas.openxmlformats.org/markup-compatibility/2006">
          <mc:Choice Requires="x14">
            <control shapeId="159783" r:id="rId41" name="Option Button 39">
              <controlPr defaultSize="0" autoFill="0" autoLine="0" autoPict="0">
                <anchor moveWithCells="1">
                  <from>
                    <xdr:col>1</xdr:col>
                    <xdr:colOff>438150</xdr:colOff>
                    <xdr:row>44</xdr:row>
                    <xdr:rowOff>31750</xdr:rowOff>
                  </from>
                  <to>
                    <xdr:col>1</xdr:col>
                    <xdr:colOff>984250</xdr:colOff>
                    <xdr:row>44</xdr:row>
                    <xdr:rowOff>184150</xdr:rowOff>
                  </to>
                </anchor>
              </controlPr>
            </control>
          </mc:Choice>
        </mc:AlternateContent>
        <mc:AlternateContent xmlns:mc="http://schemas.openxmlformats.org/markup-compatibility/2006">
          <mc:Choice Requires="x14">
            <control shapeId="159784" r:id="rId42" name="Option Button 40">
              <controlPr defaultSize="0" autoFill="0" autoLine="0" autoPict="0">
                <anchor moveWithCells="1">
                  <from>
                    <xdr:col>1</xdr:col>
                    <xdr:colOff>438150</xdr:colOff>
                    <xdr:row>45</xdr:row>
                    <xdr:rowOff>31750</xdr:rowOff>
                  </from>
                  <to>
                    <xdr:col>1</xdr:col>
                    <xdr:colOff>984250</xdr:colOff>
                    <xdr:row>45</xdr:row>
                    <xdr:rowOff>184150</xdr:rowOff>
                  </to>
                </anchor>
              </controlPr>
            </control>
          </mc:Choice>
        </mc:AlternateContent>
        <mc:AlternateContent xmlns:mc="http://schemas.openxmlformats.org/markup-compatibility/2006">
          <mc:Choice Requires="x14">
            <control shapeId="159785" r:id="rId43" name="Option Button 41">
              <controlPr defaultSize="0" autoFill="0" autoLine="0" autoPict="0">
                <anchor moveWithCells="1">
                  <from>
                    <xdr:col>1</xdr:col>
                    <xdr:colOff>438150</xdr:colOff>
                    <xdr:row>46</xdr:row>
                    <xdr:rowOff>31750</xdr:rowOff>
                  </from>
                  <to>
                    <xdr:col>1</xdr:col>
                    <xdr:colOff>984250</xdr:colOff>
                    <xdr:row>46</xdr:row>
                    <xdr:rowOff>184150</xdr:rowOff>
                  </to>
                </anchor>
              </controlPr>
            </control>
          </mc:Choice>
        </mc:AlternateContent>
        <mc:AlternateContent xmlns:mc="http://schemas.openxmlformats.org/markup-compatibility/2006">
          <mc:Choice Requires="x14">
            <control shapeId="159786" r:id="rId44" name="Option Button 42">
              <controlPr defaultSize="0" autoFill="0" autoLine="0" autoPict="0">
                <anchor moveWithCells="1">
                  <from>
                    <xdr:col>1</xdr:col>
                    <xdr:colOff>438150</xdr:colOff>
                    <xdr:row>47</xdr:row>
                    <xdr:rowOff>38100</xdr:rowOff>
                  </from>
                  <to>
                    <xdr:col>1</xdr:col>
                    <xdr:colOff>984250</xdr:colOff>
                    <xdr:row>47</xdr:row>
                    <xdr:rowOff>190500</xdr:rowOff>
                  </to>
                </anchor>
              </controlPr>
            </control>
          </mc:Choice>
        </mc:AlternateContent>
        <mc:AlternateContent xmlns:mc="http://schemas.openxmlformats.org/markup-compatibility/2006">
          <mc:Choice Requires="x14">
            <control shapeId="159787" r:id="rId45" name="Option Button 43">
              <controlPr defaultSize="0" autoFill="0" autoLine="0" autoPict="0">
                <anchor moveWithCells="1">
                  <from>
                    <xdr:col>1</xdr:col>
                    <xdr:colOff>438150</xdr:colOff>
                    <xdr:row>48</xdr:row>
                    <xdr:rowOff>38100</xdr:rowOff>
                  </from>
                  <to>
                    <xdr:col>1</xdr:col>
                    <xdr:colOff>984250</xdr:colOff>
                    <xdr:row>48</xdr:row>
                    <xdr:rowOff>190500</xdr:rowOff>
                  </to>
                </anchor>
              </controlPr>
            </control>
          </mc:Choice>
        </mc:AlternateContent>
        <mc:AlternateContent xmlns:mc="http://schemas.openxmlformats.org/markup-compatibility/2006">
          <mc:Choice Requires="x14">
            <control shapeId="159788" r:id="rId46" name="Option Button 44">
              <controlPr defaultSize="0" autoFill="0" autoLine="0" autoPict="0">
                <anchor moveWithCells="1">
                  <from>
                    <xdr:col>1</xdr:col>
                    <xdr:colOff>438150</xdr:colOff>
                    <xdr:row>49</xdr:row>
                    <xdr:rowOff>38100</xdr:rowOff>
                  </from>
                  <to>
                    <xdr:col>1</xdr:col>
                    <xdr:colOff>984250</xdr:colOff>
                    <xdr:row>49</xdr:row>
                    <xdr:rowOff>190500</xdr:rowOff>
                  </to>
                </anchor>
              </controlPr>
            </control>
          </mc:Choice>
        </mc:AlternateContent>
        <mc:AlternateContent xmlns:mc="http://schemas.openxmlformats.org/markup-compatibility/2006">
          <mc:Choice Requires="x14">
            <control shapeId="159789" r:id="rId47" name="Option Button 45">
              <controlPr defaultSize="0" autoFill="0" autoLine="0" autoPict="0">
                <anchor moveWithCells="1">
                  <from>
                    <xdr:col>1</xdr:col>
                    <xdr:colOff>438150</xdr:colOff>
                    <xdr:row>50</xdr:row>
                    <xdr:rowOff>38100</xdr:rowOff>
                  </from>
                  <to>
                    <xdr:col>1</xdr:col>
                    <xdr:colOff>984250</xdr:colOff>
                    <xdr:row>50</xdr:row>
                    <xdr:rowOff>190500</xdr:rowOff>
                  </to>
                </anchor>
              </controlPr>
            </control>
          </mc:Choice>
        </mc:AlternateContent>
        <mc:AlternateContent xmlns:mc="http://schemas.openxmlformats.org/markup-compatibility/2006">
          <mc:Choice Requires="x14">
            <control shapeId="159790" r:id="rId48" name="Option Button 46">
              <controlPr defaultSize="0" autoFill="0" autoLine="0" autoPict="0">
                <anchor moveWithCells="1">
                  <from>
                    <xdr:col>1</xdr:col>
                    <xdr:colOff>438150</xdr:colOff>
                    <xdr:row>51</xdr:row>
                    <xdr:rowOff>38100</xdr:rowOff>
                  </from>
                  <to>
                    <xdr:col>1</xdr:col>
                    <xdr:colOff>984250</xdr:colOff>
                    <xdr:row>51</xdr:row>
                    <xdr:rowOff>190500</xdr:rowOff>
                  </to>
                </anchor>
              </controlPr>
            </control>
          </mc:Choice>
        </mc:AlternateContent>
        <mc:AlternateContent xmlns:mc="http://schemas.openxmlformats.org/markup-compatibility/2006">
          <mc:Choice Requires="x14">
            <control shapeId="159791" r:id="rId49" name="Option Button 47">
              <controlPr defaultSize="0" autoFill="0" autoLine="0" autoPict="0">
                <anchor moveWithCells="1">
                  <from>
                    <xdr:col>1</xdr:col>
                    <xdr:colOff>438150</xdr:colOff>
                    <xdr:row>52</xdr:row>
                    <xdr:rowOff>38100</xdr:rowOff>
                  </from>
                  <to>
                    <xdr:col>1</xdr:col>
                    <xdr:colOff>984250</xdr:colOff>
                    <xdr:row>52</xdr:row>
                    <xdr:rowOff>190500</xdr:rowOff>
                  </to>
                </anchor>
              </controlPr>
            </control>
          </mc:Choice>
        </mc:AlternateContent>
        <mc:AlternateContent xmlns:mc="http://schemas.openxmlformats.org/markup-compatibility/2006">
          <mc:Choice Requires="x14">
            <control shapeId="159792" r:id="rId50" name="Option Button 48">
              <controlPr defaultSize="0" autoFill="0" autoLine="0" autoPict="0">
                <anchor moveWithCells="1">
                  <from>
                    <xdr:col>1</xdr:col>
                    <xdr:colOff>438150</xdr:colOff>
                    <xdr:row>53</xdr:row>
                    <xdr:rowOff>38100</xdr:rowOff>
                  </from>
                  <to>
                    <xdr:col>1</xdr:col>
                    <xdr:colOff>984250</xdr:colOff>
                    <xdr:row>53</xdr:row>
                    <xdr:rowOff>190500</xdr:rowOff>
                  </to>
                </anchor>
              </controlPr>
            </control>
          </mc:Choice>
        </mc:AlternateContent>
        <mc:AlternateContent xmlns:mc="http://schemas.openxmlformats.org/markup-compatibility/2006">
          <mc:Choice Requires="x14">
            <control shapeId="159793" r:id="rId51" name="Option Button 49">
              <controlPr defaultSize="0" autoFill="0" autoLine="0" autoPict="0">
                <anchor moveWithCells="1">
                  <from>
                    <xdr:col>1</xdr:col>
                    <xdr:colOff>438150</xdr:colOff>
                    <xdr:row>54</xdr:row>
                    <xdr:rowOff>38100</xdr:rowOff>
                  </from>
                  <to>
                    <xdr:col>1</xdr:col>
                    <xdr:colOff>984250</xdr:colOff>
                    <xdr:row>54</xdr:row>
                    <xdr:rowOff>190500</xdr:rowOff>
                  </to>
                </anchor>
              </controlPr>
            </control>
          </mc:Choice>
        </mc:AlternateContent>
        <mc:AlternateContent xmlns:mc="http://schemas.openxmlformats.org/markup-compatibility/2006">
          <mc:Choice Requires="x14">
            <control shapeId="159794" r:id="rId52" name="Option Button 50">
              <controlPr defaultSize="0" autoFill="0" autoLine="0" autoPict="0">
                <anchor moveWithCells="1">
                  <from>
                    <xdr:col>1</xdr:col>
                    <xdr:colOff>438150</xdr:colOff>
                    <xdr:row>55</xdr:row>
                    <xdr:rowOff>38100</xdr:rowOff>
                  </from>
                  <to>
                    <xdr:col>1</xdr:col>
                    <xdr:colOff>984250</xdr:colOff>
                    <xdr:row>55</xdr:row>
                    <xdr:rowOff>190500</xdr:rowOff>
                  </to>
                </anchor>
              </controlPr>
            </control>
          </mc:Choice>
        </mc:AlternateContent>
        <mc:AlternateContent xmlns:mc="http://schemas.openxmlformats.org/markup-compatibility/2006">
          <mc:Choice Requires="x14">
            <control shapeId="159795" r:id="rId53" name="Option Button 51">
              <controlPr defaultSize="0" autoFill="0" autoLine="0" autoPict="0">
                <anchor moveWithCells="1">
                  <from>
                    <xdr:col>1</xdr:col>
                    <xdr:colOff>438150</xdr:colOff>
                    <xdr:row>56</xdr:row>
                    <xdr:rowOff>38100</xdr:rowOff>
                  </from>
                  <to>
                    <xdr:col>1</xdr:col>
                    <xdr:colOff>984250</xdr:colOff>
                    <xdr:row>56</xdr:row>
                    <xdr:rowOff>190500</xdr:rowOff>
                  </to>
                </anchor>
              </controlPr>
            </control>
          </mc:Choice>
        </mc:AlternateContent>
        <mc:AlternateContent xmlns:mc="http://schemas.openxmlformats.org/markup-compatibility/2006">
          <mc:Choice Requires="x14">
            <control shapeId="159796" r:id="rId54" name="Option Button 52">
              <controlPr defaultSize="0" autoFill="0" autoLine="0" autoPict="0">
                <anchor moveWithCells="1">
                  <from>
                    <xdr:col>1</xdr:col>
                    <xdr:colOff>438150</xdr:colOff>
                    <xdr:row>57</xdr:row>
                    <xdr:rowOff>38100</xdr:rowOff>
                  </from>
                  <to>
                    <xdr:col>1</xdr:col>
                    <xdr:colOff>984250</xdr:colOff>
                    <xdr:row>57</xdr:row>
                    <xdr:rowOff>190500</xdr:rowOff>
                  </to>
                </anchor>
              </controlPr>
            </control>
          </mc:Choice>
        </mc:AlternateContent>
        <mc:AlternateContent xmlns:mc="http://schemas.openxmlformats.org/markup-compatibility/2006">
          <mc:Choice Requires="x14">
            <control shapeId="159797" r:id="rId55" name="Option Button 53">
              <controlPr defaultSize="0" autoFill="0" autoLine="0" autoPict="0">
                <anchor moveWithCells="1">
                  <from>
                    <xdr:col>1</xdr:col>
                    <xdr:colOff>438150</xdr:colOff>
                    <xdr:row>58</xdr:row>
                    <xdr:rowOff>38100</xdr:rowOff>
                  </from>
                  <to>
                    <xdr:col>1</xdr:col>
                    <xdr:colOff>984250</xdr:colOff>
                    <xdr:row>58</xdr:row>
                    <xdr:rowOff>190500</xdr:rowOff>
                  </to>
                </anchor>
              </controlPr>
            </control>
          </mc:Choice>
        </mc:AlternateContent>
        <mc:AlternateContent xmlns:mc="http://schemas.openxmlformats.org/markup-compatibility/2006">
          <mc:Choice Requires="x14">
            <control shapeId="159798" r:id="rId56" name="Option Button 54">
              <controlPr defaultSize="0" autoFill="0" autoLine="0" autoPict="0">
                <anchor moveWithCells="1">
                  <from>
                    <xdr:col>1</xdr:col>
                    <xdr:colOff>438150</xdr:colOff>
                    <xdr:row>59</xdr:row>
                    <xdr:rowOff>38100</xdr:rowOff>
                  </from>
                  <to>
                    <xdr:col>1</xdr:col>
                    <xdr:colOff>984250</xdr:colOff>
                    <xdr:row>59</xdr:row>
                    <xdr:rowOff>190500</xdr:rowOff>
                  </to>
                </anchor>
              </controlPr>
            </control>
          </mc:Choice>
        </mc:AlternateContent>
        <mc:AlternateContent xmlns:mc="http://schemas.openxmlformats.org/markup-compatibility/2006">
          <mc:Choice Requires="x14">
            <control shapeId="159799" r:id="rId57" name="Option Button 55">
              <controlPr defaultSize="0" autoFill="0" autoLine="0" autoPict="0">
                <anchor moveWithCells="1">
                  <from>
                    <xdr:col>1</xdr:col>
                    <xdr:colOff>438150</xdr:colOff>
                    <xdr:row>60</xdr:row>
                    <xdr:rowOff>38100</xdr:rowOff>
                  </from>
                  <to>
                    <xdr:col>1</xdr:col>
                    <xdr:colOff>984250</xdr:colOff>
                    <xdr:row>60</xdr:row>
                    <xdr:rowOff>190500</xdr:rowOff>
                  </to>
                </anchor>
              </controlPr>
            </control>
          </mc:Choice>
        </mc:AlternateContent>
        <mc:AlternateContent xmlns:mc="http://schemas.openxmlformats.org/markup-compatibility/2006">
          <mc:Choice Requires="x14">
            <control shapeId="159800" r:id="rId58" name="Option Button 56">
              <controlPr defaultSize="0" autoFill="0" autoLine="0" autoPict="0">
                <anchor moveWithCells="1">
                  <from>
                    <xdr:col>1</xdr:col>
                    <xdr:colOff>438150</xdr:colOff>
                    <xdr:row>61</xdr:row>
                    <xdr:rowOff>38100</xdr:rowOff>
                  </from>
                  <to>
                    <xdr:col>1</xdr:col>
                    <xdr:colOff>984250</xdr:colOff>
                    <xdr:row>61</xdr:row>
                    <xdr:rowOff>190500</xdr:rowOff>
                  </to>
                </anchor>
              </controlPr>
            </control>
          </mc:Choice>
        </mc:AlternateContent>
        <mc:AlternateContent xmlns:mc="http://schemas.openxmlformats.org/markup-compatibility/2006">
          <mc:Choice Requires="x14">
            <control shapeId="159801" r:id="rId59" name="Option Button 57">
              <controlPr defaultSize="0" autoFill="0" autoLine="0" autoPict="0">
                <anchor moveWithCells="1">
                  <from>
                    <xdr:col>1</xdr:col>
                    <xdr:colOff>438150</xdr:colOff>
                    <xdr:row>62</xdr:row>
                    <xdr:rowOff>38100</xdr:rowOff>
                  </from>
                  <to>
                    <xdr:col>1</xdr:col>
                    <xdr:colOff>984250</xdr:colOff>
                    <xdr:row>62</xdr:row>
                    <xdr:rowOff>190500</xdr:rowOff>
                  </to>
                </anchor>
              </controlPr>
            </control>
          </mc:Choice>
        </mc:AlternateContent>
        <mc:AlternateContent xmlns:mc="http://schemas.openxmlformats.org/markup-compatibility/2006">
          <mc:Choice Requires="x14">
            <control shapeId="159802" r:id="rId60" name="Option Button 58">
              <controlPr defaultSize="0" autoFill="0" autoLine="0" autoPict="0">
                <anchor moveWithCells="1">
                  <from>
                    <xdr:col>1</xdr:col>
                    <xdr:colOff>438150</xdr:colOff>
                    <xdr:row>63</xdr:row>
                    <xdr:rowOff>38100</xdr:rowOff>
                  </from>
                  <to>
                    <xdr:col>1</xdr:col>
                    <xdr:colOff>984250</xdr:colOff>
                    <xdr:row>63</xdr:row>
                    <xdr:rowOff>190500</xdr:rowOff>
                  </to>
                </anchor>
              </controlPr>
            </control>
          </mc:Choice>
        </mc:AlternateContent>
        <mc:AlternateContent xmlns:mc="http://schemas.openxmlformats.org/markup-compatibility/2006">
          <mc:Choice Requires="x14">
            <control shapeId="159803" r:id="rId61" name="Option Button 59">
              <controlPr defaultSize="0" autoFill="0" autoLine="0" autoPict="0">
                <anchor moveWithCells="1">
                  <from>
                    <xdr:col>1</xdr:col>
                    <xdr:colOff>438150</xdr:colOff>
                    <xdr:row>64</xdr:row>
                    <xdr:rowOff>317500</xdr:rowOff>
                  </from>
                  <to>
                    <xdr:col>1</xdr:col>
                    <xdr:colOff>984250</xdr:colOff>
                    <xdr:row>64</xdr:row>
                    <xdr:rowOff>469900</xdr:rowOff>
                  </to>
                </anchor>
              </controlPr>
            </control>
          </mc:Choice>
        </mc:AlternateContent>
        <mc:AlternateContent xmlns:mc="http://schemas.openxmlformats.org/markup-compatibility/2006">
          <mc:Choice Requires="x14">
            <control shapeId="159804" r:id="rId62" name="Option Button 60">
              <controlPr defaultSize="0" autoFill="0" autoLine="0" autoPict="0">
                <anchor moveWithCells="1">
                  <from>
                    <xdr:col>1</xdr:col>
                    <xdr:colOff>438150</xdr:colOff>
                    <xdr:row>65</xdr:row>
                    <xdr:rowOff>38100</xdr:rowOff>
                  </from>
                  <to>
                    <xdr:col>1</xdr:col>
                    <xdr:colOff>984250</xdr:colOff>
                    <xdr:row>65</xdr:row>
                    <xdr:rowOff>190500</xdr:rowOff>
                  </to>
                </anchor>
              </controlPr>
            </control>
          </mc:Choice>
        </mc:AlternateContent>
        <mc:AlternateContent xmlns:mc="http://schemas.openxmlformats.org/markup-compatibility/2006">
          <mc:Choice Requires="x14">
            <control shapeId="159805" r:id="rId63" name="Option Button 61">
              <controlPr defaultSize="0" autoFill="0" autoLine="0" autoPict="0">
                <anchor moveWithCells="1">
                  <from>
                    <xdr:col>1</xdr:col>
                    <xdr:colOff>438150</xdr:colOff>
                    <xdr:row>66</xdr:row>
                    <xdr:rowOff>38100</xdr:rowOff>
                  </from>
                  <to>
                    <xdr:col>1</xdr:col>
                    <xdr:colOff>984250</xdr:colOff>
                    <xdr:row>66</xdr:row>
                    <xdr:rowOff>190500</xdr:rowOff>
                  </to>
                </anchor>
              </controlPr>
            </control>
          </mc:Choice>
        </mc:AlternateContent>
        <mc:AlternateContent xmlns:mc="http://schemas.openxmlformats.org/markup-compatibility/2006">
          <mc:Choice Requires="x14">
            <control shapeId="159806" r:id="rId64" name="Option Button 62">
              <controlPr defaultSize="0" autoFill="0" autoLine="0" autoPict="0">
                <anchor moveWithCells="1">
                  <from>
                    <xdr:col>1</xdr:col>
                    <xdr:colOff>438150</xdr:colOff>
                    <xdr:row>67</xdr:row>
                    <xdr:rowOff>38100</xdr:rowOff>
                  </from>
                  <to>
                    <xdr:col>1</xdr:col>
                    <xdr:colOff>984250</xdr:colOff>
                    <xdr:row>67</xdr:row>
                    <xdr:rowOff>190500</xdr:rowOff>
                  </to>
                </anchor>
              </controlPr>
            </control>
          </mc:Choice>
        </mc:AlternateContent>
        <mc:AlternateContent xmlns:mc="http://schemas.openxmlformats.org/markup-compatibility/2006">
          <mc:Choice Requires="x14">
            <control shapeId="159807" r:id="rId65" name="Option Button 63">
              <controlPr defaultSize="0" autoFill="0" autoLine="0" autoPict="0">
                <anchor moveWithCells="1">
                  <from>
                    <xdr:col>1</xdr:col>
                    <xdr:colOff>438150</xdr:colOff>
                    <xdr:row>68</xdr:row>
                    <xdr:rowOff>38100</xdr:rowOff>
                  </from>
                  <to>
                    <xdr:col>1</xdr:col>
                    <xdr:colOff>984250</xdr:colOff>
                    <xdr:row>68</xdr:row>
                    <xdr:rowOff>190500</xdr:rowOff>
                  </to>
                </anchor>
              </controlPr>
            </control>
          </mc:Choice>
        </mc:AlternateContent>
        <mc:AlternateContent xmlns:mc="http://schemas.openxmlformats.org/markup-compatibility/2006">
          <mc:Choice Requires="x14">
            <control shapeId="159808" r:id="rId66" name="Option Button 64">
              <controlPr defaultSize="0" autoFill="0" autoLine="0" autoPict="0">
                <anchor moveWithCells="1">
                  <from>
                    <xdr:col>1</xdr:col>
                    <xdr:colOff>438150</xdr:colOff>
                    <xdr:row>69</xdr:row>
                    <xdr:rowOff>38100</xdr:rowOff>
                  </from>
                  <to>
                    <xdr:col>1</xdr:col>
                    <xdr:colOff>984250</xdr:colOff>
                    <xdr:row>69</xdr:row>
                    <xdr:rowOff>190500</xdr:rowOff>
                  </to>
                </anchor>
              </controlPr>
            </control>
          </mc:Choice>
        </mc:AlternateContent>
        <mc:AlternateContent xmlns:mc="http://schemas.openxmlformats.org/markup-compatibility/2006">
          <mc:Choice Requires="x14">
            <control shapeId="159809" r:id="rId67" name="Option Button 65">
              <controlPr defaultSize="0" autoFill="0" autoLine="0" autoPict="0">
                <anchor moveWithCells="1">
                  <from>
                    <xdr:col>1</xdr:col>
                    <xdr:colOff>438150</xdr:colOff>
                    <xdr:row>70</xdr:row>
                    <xdr:rowOff>38100</xdr:rowOff>
                  </from>
                  <to>
                    <xdr:col>1</xdr:col>
                    <xdr:colOff>984250</xdr:colOff>
                    <xdr:row>70</xdr:row>
                    <xdr:rowOff>190500</xdr:rowOff>
                  </to>
                </anchor>
              </controlPr>
            </control>
          </mc:Choice>
        </mc:AlternateContent>
        <mc:AlternateContent xmlns:mc="http://schemas.openxmlformats.org/markup-compatibility/2006">
          <mc:Choice Requires="x14">
            <control shapeId="159810" r:id="rId68" name="Option Button 66">
              <controlPr defaultSize="0" autoFill="0" autoLine="0" autoPict="0">
                <anchor moveWithCells="1">
                  <from>
                    <xdr:col>1</xdr:col>
                    <xdr:colOff>438150</xdr:colOff>
                    <xdr:row>71</xdr:row>
                    <xdr:rowOff>38100</xdr:rowOff>
                  </from>
                  <to>
                    <xdr:col>1</xdr:col>
                    <xdr:colOff>984250</xdr:colOff>
                    <xdr:row>71</xdr:row>
                    <xdr:rowOff>190500</xdr:rowOff>
                  </to>
                </anchor>
              </controlPr>
            </control>
          </mc:Choice>
        </mc:AlternateContent>
        <mc:AlternateContent xmlns:mc="http://schemas.openxmlformats.org/markup-compatibility/2006">
          <mc:Choice Requires="x14">
            <control shapeId="159811" r:id="rId69" name="Option Button 67">
              <controlPr defaultSize="0" autoFill="0" autoLine="0" autoPict="0">
                <anchor moveWithCells="1">
                  <from>
                    <xdr:col>1</xdr:col>
                    <xdr:colOff>438150</xdr:colOff>
                    <xdr:row>72</xdr:row>
                    <xdr:rowOff>38100</xdr:rowOff>
                  </from>
                  <to>
                    <xdr:col>1</xdr:col>
                    <xdr:colOff>984250</xdr:colOff>
                    <xdr:row>72</xdr:row>
                    <xdr:rowOff>190500</xdr:rowOff>
                  </to>
                </anchor>
              </controlPr>
            </control>
          </mc:Choice>
        </mc:AlternateContent>
        <mc:AlternateContent xmlns:mc="http://schemas.openxmlformats.org/markup-compatibility/2006">
          <mc:Choice Requires="x14">
            <control shapeId="159812" r:id="rId70" name="Option Button 68">
              <controlPr defaultSize="0" autoFill="0" autoLine="0" autoPict="0">
                <anchor moveWithCells="1">
                  <from>
                    <xdr:col>1</xdr:col>
                    <xdr:colOff>438150</xdr:colOff>
                    <xdr:row>73</xdr:row>
                    <xdr:rowOff>38100</xdr:rowOff>
                  </from>
                  <to>
                    <xdr:col>1</xdr:col>
                    <xdr:colOff>984250</xdr:colOff>
                    <xdr:row>73</xdr:row>
                    <xdr:rowOff>190500</xdr:rowOff>
                  </to>
                </anchor>
              </controlPr>
            </control>
          </mc:Choice>
        </mc:AlternateContent>
        <mc:AlternateContent xmlns:mc="http://schemas.openxmlformats.org/markup-compatibility/2006">
          <mc:Choice Requires="x14">
            <control shapeId="159813" r:id="rId71" name="Option Button 69">
              <controlPr defaultSize="0" autoFill="0" autoLine="0" autoPict="0">
                <anchor moveWithCells="1">
                  <from>
                    <xdr:col>1</xdr:col>
                    <xdr:colOff>438150</xdr:colOff>
                    <xdr:row>74</xdr:row>
                    <xdr:rowOff>38100</xdr:rowOff>
                  </from>
                  <to>
                    <xdr:col>1</xdr:col>
                    <xdr:colOff>984250</xdr:colOff>
                    <xdr:row>74</xdr:row>
                    <xdr:rowOff>190500</xdr:rowOff>
                  </to>
                </anchor>
              </controlPr>
            </control>
          </mc:Choice>
        </mc:AlternateContent>
        <mc:AlternateContent xmlns:mc="http://schemas.openxmlformats.org/markup-compatibility/2006">
          <mc:Choice Requires="x14">
            <control shapeId="159814" r:id="rId72" name="Option Button 70">
              <controlPr defaultSize="0" autoFill="0" autoLine="0" autoPict="0">
                <anchor moveWithCells="1">
                  <from>
                    <xdr:col>1</xdr:col>
                    <xdr:colOff>438150</xdr:colOff>
                    <xdr:row>75</xdr:row>
                    <xdr:rowOff>38100</xdr:rowOff>
                  </from>
                  <to>
                    <xdr:col>1</xdr:col>
                    <xdr:colOff>984250</xdr:colOff>
                    <xdr:row>75</xdr:row>
                    <xdr:rowOff>190500</xdr:rowOff>
                  </to>
                </anchor>
              </controlPr>
            </control>
          </mc:Choice>
        </mc:AlternateContent>
        <mc:AlternateContent xmlns:mc="http://schemas.openxmlformats.org/markup-compatibility/2006">
          <mc:Choice Requires="x14">
            <control shapeId="159815" r:id="rId73" name="Option Button 71">
              <controlPr defaultSize="0" autoFill="0" autoLine="0" autoPict="0">
                <anchor moveWithCells="1">
                  <from>
                    <xdr:col>1</xdr:col>
                    <xdr:colOff>438150</xdr:colOff>
                    <xdr:row>76</xdr:row>
                    <xdr:rowOff>38100</xdr:rowOff>
                  </from>
                  <to>
                    <xdr:col>1</xdr:col>
                    <xdr:colOff>984250</xdr:colOff>
                    <xdr:row>76</xdr:row>
                    <xdr:rowOff>190500</xdr:rowOff>
                  </to>
                </anchor>
              </controlPr>
            </control>
          </mc:Choice>
        </mc:AlternateContent>
        <mc:AlternateContent xmlns:mc="http://schemas.openxmlformats.org/markup-compatibility/2006">
          <mc:Choice Requires="x14">
            <control shapeId="159816" r:id="rId74" name="Option Button 72">
              <controlPr defaultSize="0" autoFill="0" autoLine="0" autoPict="0">
                <anchor moveWithCells="1">
                  <from>
                    <xdr:col>1</xdr:col>
                    <xdr:colOff>438150</xdr:colOff>
                    <xdr:row>77</xdr:row>
                    <xdr:rowOff>38100</xdr:rowOff>
                  </from>
                  <to>
                    <xdr:col>1</xdr:col>
                    <xdr:colOff>984250</xdr:colOff>
                    <xdr:row>77</xdr:row>
                    <xdr:rowOff>190500</xdr:rowOff>
                  </to>
                </anchor>
              </controlPr>
            </control>
          </mc:Choice>
        </mc:AlternateContent>
        <mc:AlternateContent xmlns:mc="http://schemas.openxmlformats.org/markup-compatibility/2006">
          <mc:Choice Requires="x14">
            <control shapeId="159817" r:id="rId75" name="Option Button 73">
              <controlPr defaultSize="0" autoFill="0" autoLine="0" autoPict="0">
                <anchor moveWithCells="1">
                  <from>
                    <xdr:col>1</xdr:col>
                    <xdr:colOff>438150</xdr:colOff>
                    <xdr:row>78</xdr:row>
                    <xdr:rowOff>38100</xdr:rowOff>
                  </from>
                  <to>
                    <xdr:col>1</xdr:col>
                    <xdr:colOff>984250</xdr:colOff>
                    <xdr:row>78</xdr:row>
                    <xdr:rowOff>190500</xdr:rowOff>
                  </to>
                </anchor>
              </controlPr>
            </control>
          </mc:Choice>
        </mc:AlternateContent>
        <mc:AlternateContent xmlns:mc="http://schemas.openxmlformats.org/markup-compatibility/2006">
          <mc:Choice Requires="x14">
            <control shapeId="159818" r:id="rId76" name="Option Button 74">
              <controlPr defaultSize="0" autoFill="0" autoLine="0" autoPict="0">
                <anchor moveWithCells="1">
                  <from>
                    <xdr:col>1</xdr:col>
                    <xdr:colOff>438150</xdr:colOff>
                    <xdr:row>79</xdr:row>
                    <xdr:rowOff>38100</xdr:rowOff>
                  </from>
                  <to>
                    <xdr:col>1</xdr:col>
                    <xdr:colOff>984250</xdr:colOff>
                    <xdr:row>79</xdr:row>
                    <xdr:rowOff>190500</xdr:rowOff>
                  </to>
                </anchor>
              </controlPr>
            </control>
          </mc:Choice>
        </mc:AlternateContent>
        <mc:AlternateContent xmlns:mc="http://schemas.openxmlformats.org/markup-compatibility/2006">
          <mc:Choice Requires="x14">
            <control shapeId="159819" r:id="rId77" name="Option Button 75">
              <controlPr defaultSize="0" autoFill="0" autoLine="0" autoPict="0">
                <anchor moveWithCells="1">
                  <from>
                    <xdr:col>1</xdr:col>
                    <xdr:colOff>438150</xdr:colOff>
                    <xdr:row>80</xdr:row>
                    <xdr:rowOff>38100</xdr:rowOff>
                  </from>
                  <to>
                    <xdr:col>1</xdr:col>
                    <xdr:colOff>984250</xdr:colOff>
                    <xdr:row>80</xdr:row>
                    <xdr:rowOff>190500</xdr:rowOff>
                  </to>
                </anchor>
              </controlPr>
            </control>
          </mc:Choice>
        </mc:AlternateContent>
        <mc:AlternateContent xmlns:mc="http://schemas.openxmlformats.org/markup-compatibility/2006">
          <mc:Choice Requires="x14">
            <control shapeId="159820" r:id="rId78" name="Option Button 76">
              <controlPr defaultSize="0" autoFill="0" autoLine="0" autoPict="0">
                <anchor moveWithCells="1">
                  <from>
                    <xdr:col>1</xdr:col>
                    <xdr:colOff>438150</xdr:colOff>
                    <xdr:row>81</xdr:row>
                    <xdr:rowOff>38100</xdr:rowOff>
                  </from>
                  <to>
                    <xdr:col>1</xdr:col>
                    <xdr:colOff>984250</xdr:colOff>
                    <xdr:row>81</xdr:row>
                    <xdr:rowOff>190500</xdr:rowOff>
                  </to>
                </anchor>
              </controlPr>
            </control>
          </mc:Choice>
        </mc:AlternateContent>
        <mc:AlternateContent xmlns:mc="http://schemas.openxmlformats.org/markup-compatibility/2006">
          <mc:Choice Requires="x14">
            <control shapeId="159821" r:id="rId79" name="Option Button 77">
              <controlPr defaultSize="0" autoFill="0" autoLine="0" autoPict="0">
                <anchor moveWithCells="1">
                  <from>
                    <xdr:col>1</xdr:col>
                    <xdr:colOff>438150</xdr:colOff>
                    <xdr:row>82</xdr:row>
                    <xdr:rowOff>38100</xdr:rowOff>
                  </from>
                  <to>
                    <xdr:col>1</xdr:col>
                    <xdr:colOff>984250</xdr:colOff>
                    <xdr:row>82</xdr:row>
                    <xdr:rowOff>190500</xdr:rowOff>
                  </to>
                </anchor>
              </controlPr>
            </control>
          </mc:Choice>
        </mc:AlternateContent>
        <mc:AlternateContent xmlns:mc="http://schemas.openxmlformats.org/markup-compatibility/2006">
          <mc:Choice Requires="x14">
            <control shapeId="159822" r:id="rId80" name="Option Button 78">
              <controlPr defaultSize="0" autoFill="0" autoLine="0" autoPict="0">
                <anchor moveWithCells="1">
                  <from>
                    <xdr:col>1</xdr:col>
                    <xdr:colOff>438150</xdr:colOff>
                    <xdr:row>83</xdr:row>
                    <xdr:rowOff>38100</xdr:rowOff>
                  </from>
                  <to>
                    <xdr:col>1</xdr:col>
                    <xdr:colOff>984250</xdr:colOff>
                    <xdr:row>83</xdr:row>
                    <xdr:rowOff>190500</xdr:rowOff>
                  </to>
                </anchor>
              </controlPr>
            </control>
          </mc:Choice>
        </mc:AlternateContent>
        <mc:AlternateContent xmlns:mc="http://schemas.openxmlformats.org/markup-compatibility/2006">
          <mc:Choice Requires="x14">
            <control shapeId="159823" r:id="rId81" name="Option Button 79">
              <controlPr defaultSize="0" autoFill="0" autoLine="0" autoPict="0">
                <anchor moveWithCells="1">
                  <from>
                    <xdr:col>1</xdr:col>
                    <xdr:colOff>438150</xdr:colOff>
                    <xdr:row>84</xdr:row>
                    <xdr:rowOff>38100</xdr:rowOff>
                  </from>
                  <to>
                    <xdr:col>1</xdr:col>
                    <xdr:colOff>984250</xdr:colOff>
                    <xdr:row>84</xdr:row>
                    <xdr:rowOff>190500</xdr:rowOff>
                  </to>
                </anchor>
              </controlPr>
            </control>
          </mc:Choice>
        </mc:AlternateContent>
        <mc:AlternateContent xmlns:mc="http://schemas.openxmlformats.org/markup-compatibility/2006">
          <mc:Choice Requires="x14">
            <control shapeId="159824" r:id="rId82" name="Option Button 80">
              <controlPr defaultSize="0" autoFill="0" autoLine="0" autoPict="0">
                <anchor moveWithCells="1">
                  <from>
                    <xdr:col>1</xdr:col>
                    <xdr:colOff>438150</xdr:colOff>
                    <xdr:row>85</xdr:row>
                    <xdr:rowOff>38100</xdr:rowOff>
                  </from>
                  <to>
                    <xdr:col>1</xdr:col>
                    <xdr:colOff>984250</xdr:colOff>
                    <xdr:row>85</xdr:row>
                    <xdr:rowOff>190500</xdr:rowOff>
                  </to>
                </anchor>
              </controlPr>
            </control>
          </mc:Choice>
        </mc:AlternateContent>
        <mc:AlternateContent xmlns:mc="http://schemas.openxmlformats.org/markup-compatibility/2006">
          <mc:Choice Requires="x14">
            <control shapeId="159825" r:id="rId83" name="Option Button 81">
              <controlPr defaultSize="0" autoFill="0" autoLine="0" autoPict="0">
                <anchor moveWithCells="1">
                  <from>
                    <xdr:col>1</xdr:col>
                    <xdr:colOff>438150</xdr:colOff>
                    <xdr:row>86</xdr:row>
                    <xdr:rowOff>38100</xdr:rowOff>
                  </from>
                  <to>
                    <xdr:col>1</xdr:col>
                    <xdr:colOff>984250</xdr:colOff>
                    <xdr:row>86</xdr:row>
                    <xdr:rowOff>190500</xdr:rowOff>
                  </to>
                </anchor>
              </controlPr>
            </control>
          </mc:Choice>
        </mc:AlternateContent>
        <mc:AlternateContent xmlns:mc="http://schemas.openxmlformats.org/markup-compatibility/2006">
          <mc:Choice Requires="x14">
            <control shapeId="159826" r:id="rId84" name="Option Button 82">
              <controlPr defaultSize="0" autoFill="0" autoLine="0" autoPict="0">
                <anchor moveWithCells="1">
                  <from>
                    <xdr:col>1</xdr:col>
                    <xdr:colOff>438150</xdr:colOff>
                    <xdr:row>87</xdr:row>
                    <xdr:rowOff>38100</xdr:rowOff>
                  </from>
                  <to>
                    <xdr:col>1</xdr:col>
                    <xdr:colOff>984250</xdr:colOff>
                    <xdr:row>87</xdr:row>
                    <xdr:rowOff>190500</xdr:rowOff>
                  </to>
                </anchor>
              </controlPr>
            </control>
          </mc:Choice>
        </mc:AlternateContent>
        <mc:AlternateContent xmlns:mc="http://schemas.openxmlformats.org/markup-compatibility/2006">
          <mc:Choice Requires="x14">
            <control shapeId="159827" r:id="rId85" name="Option Button 83">
              <controlPr defaultSize="0" autoFill="0" autoLine="0" autoPict="0">
                <anchor moveWithCells="1">
                  <from>
                    <xdr:col>1</xdr:col>
                    <xdr:colOff>438150</xdr:colOff>
                    <xdr:row>88</xdr:row>
                    <xdr:rowOff>38100</xdr:rowOff>
                  </from>
                  <to>
                    <xdr:col>1</xdr:col>
                    <xdr:colOff>984250</xdr:colOff>
                    <xdr:row>88</xdr:row>
                    <xdr:rowOff>190500</xdr:rowOff>
                  </to>
                </anchor>
              </controlPr>
            </control>
          </mc:Choice>
        </mc:AlternateContent>
        <mc:AlternateContent xmlns:mc="http://schemas.openxmlformats.org/markup-compatibility/2006">
          <mc:Choice Requires="x14">
            <control shapeId="159828" r:id="rId86" name="Option Button 84">
              <controlPr defaultSize="0" autoFill="0" autoLine="0" autoPict="0">
                <anchor moveWithCells="1">
                  <from>
                    <xdr:col>1</xdr:col>
                    <xdr:colOff>438150</xdr:colOff>
                    <xdr:row>89</xdr:row>
                    <xdr:rowOff>38100</xdr:rowOff>
                  </from>
                  <to>
                    <xdr:col>1</xdr:col>
                    <xdr:colOff>984250</xdr:colOff>
                    <xdr:row>89</xdr:row>
                    <xdr:rowOff>190500</xdr:rowOff>
                  </to>
                </anchor>
              </controlPr>
            </control>
          </mc:Choice>
        </mc:AlternateContent>
        <mc:AlternateContent xmlns:mc="http://schemas.openxmlformats.org/markup-compatibility/2006">
          <mc:Choice Requires="x14">
            <control shapeId="159829" r:id="rId87" name="Option Button 85">
              <controlPr defaultSize="0" autoFill="0" autoLine="0" autoPict="0">
                <anchor moveWithCells="1">
                  <from>
                    <xdr:col>1</xdr:col>
                    <xdr:colOff>438150</xdr:colOff>
                    <xdr:row>90</xdr:row>
                    <xdr:rowOff>38100</xdr:rowOff>
                  </from>
                  <to>
                    <xdr:col>1</xdr:col>
                    <xdr:colOff>984250</xdr:colOff>
                    <xdr:row>90</xdr:row>
                    <xdr:rowOff>190500</xdr:rowOff>
                  </to>
                </anchor>
              </controlPr>
            </control>
          </mc:Choice>
        </mc:AlternateContent>
        <mc:AlternateContent xmlns:mc="http://schemas.openxmlformats.org/markup-compatibility/2006">
          <mc:Choice Requires="x14">
            <control shapeId="159830" r:id="rId88" name="Option Button 86">
              <controlPr defaultSize="0" autoFill="0" autoLine="0" autoPict="0">
                <anchor moveWithCells="1">
                  <from>
                    <xdr:col>1</xdr:col>
                    <xdr:colOff>438150</xdr:colOff>
                    <xdr:row>91</xdr:row>
                    <xdr:rowOff>38100</xdr:rowOff>
                  </from>
                  <to>
                    <xdr:col>1</xdr:col>
                    <xdr:colOff>984250</xdr:colOff>
                    <xdr:row>91</xdr:row>
                    <xdr:rowOff>190500</xdr:rowOff>
                  </to>
                </anchor>
              </controlPr>
            </control>
          </mc:Choice>
        </mc:AlternateContent>
        <mc:AlternateContent xmlns:mc="http://schemas.openxmlformats.org/markup-compatibility/2006">
          <mc:Choice Requires="x14">
            <control shapeId="159831" r:id="rId89" name="Option Button 87">
              <controlPr defaultSize="0" autoFill="0" autoLine="0" autoPict="0">
                <anchor moveWithCells="1">
                  <from>
                    <xdr:col>1</xdr:col>
                    <xdr:colOff>438150</xdr:colOff>
                    <xdr:row>92</xdr:row>
                    <xdr:rowOff>38100</xdr:rowOff>
                  </from>
                  <to>
                    <xdr:col>1</xdr:col>
                    <xdr:colOff>984250</xdr:colOff>
                    <xdr:row>92</xdr:row>
                    <xdr:rowOff>190500</xdr:rowOff>
                  </to>
                </anchor>
              </controlPr>
            </control>
          </mc:Choice>
        </mc:AlternateContent>
        <mc:AlternateContent xmlns:mc="http://schemas.openxmlformats.org/markup-compatibility/2006">
          <mc:Choice Requires="x14">
            <control shapeId="159832" r:id="rId90" name="Option Button 88">
              <controlPr defaultSize="0" autoFill="0" autoLine="0" autoPict="0">
                <anchor moveWithCells="1">
                  <from>
                    <xdr:col>1</xdr:col>
                    <xdr:colOff>438150</xdr:colOff>
                    <xdr:row>93</xdr:row>
                    <xdr:rowOff>38100</xdr:rowOff>
                  </from>
                  <to>
                    <xdr:col>1</xdr:col>
                    <xdr:colOff>984250</xdr:colOff>
                    <xdr:row>93</xdr:row>
                    <xdr:rowOff>190500</xdr:rowOff>
                  </to>
                </anchor>
              </controlPr>
            </control>
          </mc:Choice>
        </mc:AlternateContent>
        <mc:AlternateContent xmlns:mc="http://schemas.openxmlformats.org/markup-compatibility/2006">
          <mc:Choice Requires="x14">
            <control shapeId="159833" r:id="rId91" name="Option Button 89">
              <controlPr defaultSize="0" autoFill="0" autoLine="0" autoPict="0">
                <anchor moveWithCells="1">
                  <from>
                    <xdr:col>1</xdr:col>
                    <xdr:colOff>438150</xdr:colOff>
                    <xdr:row>94</xdr:row>
                    <xdr:rowOff>38100</xdr:rowOff>
                  </from>
                  <to>
                    <xdr:col>1</xdr:col>
                    <xdr:colOff>984250</xdr:colOff>
                    <xdr:row>94</xdr:row>
                    <xdr:rowOff>190500</xdr:rowOff>
                  </to>
                </anchor>
              </controlPr>
            </control>
          </mc:Choice>
        </mc:AlternateContent>
        <mc:AlternateContent xmlns:mc="http://schemas.openxmlformats.org/markup-compatibility/2006">
          <mc:Choice Requires="x14">
            <control shapeId="159834" r:id="rId92" name="Option Button 90">
              <controlPr defaultSize="0" autoFill="0" autoLine="0" autoPict="0">
                <anchor moveWithCells="1">
                  <from>
                    <xdr:col>1</xdr:col>
                    <xdr:colOff>438150</xdr:colOff>
                    <xdr:row>95</xdr:row>
                    <xdr:rowOff>38100</xdr:rowOff>
                  </from>
                  <to>
                    <xdr:col>1</xdr:col>
                    <xdr:colOff>984250</xdr:colOff>
                    <xdr:row>95</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H117"/>
  <sheetViews>
    <sheetView zoomScale="85" zoomScaleNormal="85" workbookViewId="0">
      <pane ySplit="6" topLeftCell="A7" activePane="bottomLeft" state="frozen"/>
      <selection activeCell="L31" sqref="L31"/>
      <selection pane="bottomLeft"/>
    </sheetView>
  </sheetViews>
  <sheetFormatPr defaultRowHeight="15"/>
  <cols>
    <col min="1" max="1" width="3.36328125" style="398" customWidth="1"/>
    <col min="2" max="2" width="14" style="398" bestFit="1" customWidth="1"/>
    <col min="3" max="3" width="52.6328125" style="398" customWidth="1"/>
    <col min="4" max="4" width="58.7265625" style="398" customWidth="1"/>
    <col min="5" max="5" width="45.6328125" style="398" hidden="1" customWidth="1"/>
    <col min="6" max="6" width="8.7265625" style="398" hidden="1" customWidth="1"/>
    <col min="7" max="8" width="12.6328125" style="398" hidden="1" customWidth="1"/>
    <col min="9" max="256" width="9" style="398"/>
    <col min="257" max="257" width="9.08984375" style="398" customWidth="1"/>
    <col min="258" max="258" width="9.453125" style="398" bestFit="1" customWidth="1"/>
    <col min="259" max="259" width="21.6328125" style="398" customWidth="1"/>
    <col min="260" max="260" width="57.36328125" style="398" customWidth="1"/>
    <col min="261" max="261" width="73.453125" style="398" customWidth="1"/>
    <col min="262" max="262" width="70.6328125" style="398" bestFit="1" customWidth="1"/>
    <col min="263" max="512" width="9" style="398"/>
    <col min="513" max="513" width="9.08984375" style="398" customWidth="1"/>
    <col min="514" max="514" width="9.453125" style="398" bestFit="1" customWidth="1"/>
    <col min="515" max="515" width="21.6328125" style="398" customWidth="1"/>
    <col min="516" max="516" width="57.36328125" style="398" customWidth="1"/>
    <col min="517" max="517" width="73.453125" style="398" customWidth="1"/>
    <col min="518" max="518" width="70.6328125" style="398" bestFit="1" customWidth="1"/>
    <col min="519" max="768" width="9" style="398"/>
    <col min="769" max="769" width="9.08984375" style="398" customWidth="1"/>
    <col min="770" max="770" width="9.453125" style="398" bestFit="1" customWidth="1"/>
    <col min="771" max="771" width="21.6328125" style="398" customWidth="1"/>
    <col min="772" max="772" width="57.36328125" style="398" customWidth="1"/>
    <col min="773" max="773" width="73.453125" style="398" customWidth="1"/>
    <col min="774" max="774" width="70.6328125" style="398" bestFit="1" customWidth="1"/>
    <col min="775" max="1024" width="9" style="398"/>
    <col min="1025" max="1025" width="9.08984375" style="398" customWidth="1"/>
    <col min="1026" max="1026" width="9.453125" style="398" bestFit="1" customWidth="1"/>
    <col min="1027" max="1027" width="21.6328125" style="398" customWidth="1"/>
    <col min="1028" max="1028" width="57.36328125" style="398" customWidth="1"/>
    <col min="1029" max="1029" width="73.453125" style="398" customWidth="1"/>
    <col min="1030" max="1030" width="70.6328125" style="398" bestFit="1" customWidth="1"/>
    <col min="1031" max="1280" width="9" style="398"/>
    <col min="1281" max="1281" width="9.08984375" style="398" customWidth="1"/>
    <col min="1282" max="1282" width="9.453125" style="398" bestFit="1" customWidth="1"/>
    <col min="1283" max="1283" width="21.6328125" style="398" customWidth="1"/>
    <col min="1284" max="1284" width="57.36328125" style="398" customWidth="1"/>
    <col min="1285" max="1285" width="73.453125" style="398" customWidth="1"/>
    <col min="1286" max="1286" width="70.6328125" style="398" bestFit="1" customWidth="1"/>
    <col min="1287" max="1536" width="9" style="398"/>
    <col min="1537" max="1537" width="9.08984375" style="398" customWidth="1"/>
    <col min="1538" max="1538" width="9.453125" style="398" bestFit="1" customWidth="1"/>
    <col min="1539" max="1539" width="21.6328125" style="398" customWidth="1"/>
    <col min="1540" max="1540" width="57.36328125" style="398" customWidth="1"/>
    <col min="1541" max="1541" width="73.453125" style="398" customWidth="1"/>
    <col min="1542" max="1542" width="70.6328125" style="398" bestFit="1" customWidth="1"/>
    <col min="1543" max="1792" width="9" style="398"/>
    <col min="1793" max="1793" width="9.08984375" style="398" customWidth="1"/>
    <col min="1794" max="1794" width="9.453125" style="398" bestFit="1" customWidth="1"/>
    <col min="1795" max="1795" width="21.6328125" style="398" customWidth="1"/>
    <col min="1796" max="1796" width="57.36328125" style="398" customWidth="1"/>
    <col min="1797" max="1797" width="73.453125" style="398" customWidth="1"/>
    <col min="1798" max="1798" width="70.6328125" style="398" bestFit="1" customWidth="1"/>
    <col min="1799" max="2048" width="9" style="398"/>
    <col min="2049" max="2049" width="9.08984375" style="398" customWidth="1"/>
    <col min="2050" max="2050" width="9.453125" style="398" bestFit="1" customWidth="1"/>
    <col min="2051" max="2051" width="21.6328125" style="398" customWidth="1"/>
    <col min="2052" max="2052" width="57.36328125" style="398" customWidth="1"/>
    <col min="2053" max="2053" width="73.453125" style="398" customWidth="1"/>
    <col min="2054" max="2054" width="70.6328125" style="398" bestFit="1" customWidth="1"/>
    <col min="2055" max="2304" width="9" style="398"/>
    <col min="2305" max="2305" width="9.08984375" style="398" customWidth="1"/>
    <col min="2306" max="2306" width="9.453125" style="398" bestFit="1" customWidth="1"/>
    <col min="2307" max="2307" width="21.6328125" style="398" customWidth="1"/>
    <col min="2308" max="2308" width="57.36328125" style="398" customWidth="1"/>
    <col min="2309" max="2309" width="73.453125" style="398" customWidth="1"/>
    <col min="2310" max="2310" width="70.6328125" style="398" bestFit="1" customWidth="1"/>
    <col min="2311" max="2560" width="9" style="398"/>
    <col min="2561" max="2561" width="9.08984375" style="398" customWidth="1"/>
    <col min="2562" max="2562" width="9.453125" style="398" bestFit="1" customWidth="1"/>
    <col min="2563" max="2563" width="21.6328125" style="398" customWidth="1"/>
    <col min="2564" max="2564" width="57.36328125" style="398" customWidth="1"/>
    <col min="2565" max="2565" width="73.453125" style="398" customWidth="1"/>
    <col min="2566" max="2566" width="70.6328125" style="398" bestFit="1" customWidth="1"/>
    <col min="2567" max="2816" width="9" style="398"/>
    <col min="2817" max="2817" width="9.08984375" style="398" customWidth="1"/>
    <col min="2818" max="2818" width="9.453125" style="398" bestFit="1" customWidth="1"/>
    <col min="2819" max="2819" width="21.6328125" style="398" customWidth="1"/>
    <col min="2820" max="2820" width="57.36328125" style="398" customWidth="1"/>
    <col min="2821" max="2821" width="73.453125" style="398" customWidth="1"/>
    <col min="2822" max="2822" width="70.6328125" style="398" bestFit="1" customWidth="1"/>
    <col min="2823" max="3072" width="9" style="398"/>
    <col min="3073" max="3073" width="9.08984375" style="398" customWidth="1"/>
    <col min="3074" max="3074" width="9.453125" style="398" bestFit="1" customWidth="1"/>
    <col min="3075" max="3075" width="21.6328125" style="398" customWidth="1"/>
    <col min="3076" max="3076" width="57.36328125" style="398" customWidth="1"/>
    <col min="3077" max="3077" width="73.453125" style="398" customWidth="1"/>
    <col min="3078" max="3078" width="70.6328125" style="398" bestFit="1" customWidth="1"/>
    <col min="3079" max="3328" width="9" style="398"/>
    <col min="3329" max="3329" width="9.08984375" style="398" customWidth="1"/>
    <col min="3330" max="3330" width="9.453125" style="398" bestFit="1" customWidth="1"/>
    <col min="3331" max="3331" width="21.6328125" style="398" customWidth="1"/>
    <col min="3332" max="3332" width="57.36328125" style="398" customWidth="1"/>
    <col min="3333" max="3333" width="73.453125" style="398" customWidth="1"/>
    <col min="3334" max="3334" width="70.6328125" style="398" bestFit="1" customWidth="1"/>
    <col min="3335" max="3584" width="9" style="398"/>
    <col min="3585" max="3585" width="9.08984375" style="398" customWidth="1"/>
    <col min="3586" max="3586" width="9.453125" style="398" bestFit="1" customWidth="1"/>
    <col min="3587" max="3587" width="21.6328125" style="398" customWidth="1"/>
    <col min="3588" max="3588" width="57.36328125" style="398" customWidth="1"/>
    <col min="3589" max="3589" width="73.453125" style="398" customWidth="1"/>
    <col min="3590" max="3590" width="70.6328125" style="398" bestFit="1" customWidth="1"/>
    <col min="3591" max="3840" width="9" style="398"/>
    <col min="3841" max="3841" width="9.08984375" style="398" customWidth="1"/>
    <col min="3842" max="3842" width="9.453125" style="398" bestFit="1" customWidth="1"/>
    <col min="3843" max="3843" width="21.6328125" style="398" customWidth="1"/>
    <col min="3844" max="3844" width="57.36328125" style="398" customWidth="1"/>
    <col min="3845" max="3845" width="73.453125" style="398" customWidth="1"/>
    <col min="3846" max="3846" width="70.6328125" style="398" bestFit="1" customWidth="1"/>
    <col min="3847" max="4096" width="9" style="398"/>
    <col min="4097" max="4097" width="9.08984375" style="398" customWidth="1"/>
    <col min="4098" max="4098" width="9.453125" style="398" bestFit="1" customWidth="1"/>
    <col min="4099" max="4099" width="21.6328125" style="398" customWidth="1"/>
    <col min="4100" max="4100" width="57.36328125" style="398" customWidth="1"/>
    <col min="4101" max="4101" width="73.453125" style="398" customWidth="1"/>
    <col min="4102" max="4102" width="70.6328125" style="398" bestFit="1" customWidth="1"/>
    <col min="4103" max="4352" width="9" style="398"/>
    <col min="4353" max="4353" width="9.08984375" style="398" customWidth="1"/>
    <col min="4354" max="4354" width="9.453125" style="398" bestFit="1" customWidth="1"/>
    <col min="4355" max="4355" width="21.6328125" style="398" customWidth="1"/>
    <col min="4356" max="4356" width="57.36328125" style="398" customWidth="1"/>
    <col min="4357" max="4357" width="73.453125" style="398" customWidth="1"/>
    <col min="4358" max="4358" width="70.6328125" style="398" bestFit="1" customWidth="1"/>
    <col min="4359" max="4608" width="9" style="398"/>
    <col min="4609" max="4609" width="9.08984375" style="398" customWidth="1"/>
    <col min="4610" max="4610" width="9.453125" style="398" bestFit="1" customWidth="1"/>
    <col min="4611" max="4611" width="21.6328125" style="398" customWidth="1"/>
    <col min="4612" max="4612" width="57.36328125" style="398" customWidth="1"/>
    <col min="4613" max="4613" width="73.453125" style="398" customWidth="1"/>
    <col min="4614" max="4614" width="70.6328125" style="398" bestFit="1" customWidth="1"/>
    <col min="4615" max="4864" width="9" style="398"/>
    <col min="4865" max="4865" width="9.08984375" style="398" customWidth="1"/>
    <col min="4866" max="4866" width="9.453125" style="398" bestFit="1" customWidth="1"/>
    <col min="4867" max="4867" width="21.6328125" style="398" customWidth="1"/>
    <col min="4868" max="4868" width="57.36328125" style="398" customWidth="1"/>
    <col min="4869" max="4869" width="73.453125" style="398" customWidth="1"/>
    <col min="4870" max="4870" width="70.6328125" style="398" bestFit="1" customWidth="1"/>
    <col min="4871" max="5120" width="9" style="398"/>
    <col min="5121" max="5121" width="9.08984375" style="398" customWidth="1"/>
    <col min="5122" max="5122" width="9.453125" style="398" bestFit="1" customWidth="1"/>
    <col min="5123" max="5123" width="21.6328125" style="398" customWidth="1"/>
    <col min="5124" max="5124" width="57.36328125" style="398" customWidth="1"/>
    <col min="5125" max="5125" width="73.453125" style="398" customWidth="1"/>
    <col min="5126" max="5126" width="70.6328125" style="398" bestFit="1" customWidth="1"/>
    <col min="5127" max="5376" width="9" style="398"/>
    <col min="5377" max="5377" width="9.08984375" style="398" customWidth="1"/>
    <col min="5378" max="5378" width="9.453125" style="398" bestFit="1" customWidth="1"/>
    <col min="5379" max="5379" width="21.6328125" style="398" customWidth="1"/>
    <col min="5380" max="5380" width="57.36328125" style="398" customWidth="1"/>
    <col min="5381" max="5381" width="73.453125" style="398" customWidth="1"/>
    <col min="5382" max="5382" width="70.6328125" style="398" bestFit="1" customWidth="1"/>
    <col min="5383" max="5632" width="9" style="398"/>
    <col min="5633" max="5633" width="9.08984375" style="398" customWidth="1"/>
    <col min="5634" max="5634" width="9.453125" style="398" bestFit="1" customWidth="1"/>
    <col min="5635" max="5635" width="21.6328125" style="398" customWidth="1"/>
    <col min="5636" max="5636" width="57.36328125" style="398" customWidth="1"/>
    <col min="5637" max="5637" width="73.453125" style="398" customWidth="1"/>
    <col min="5638" max="5638" width="70.6328125" style="398" bestFit="1" customWidth="1"/>
    <col min="5639" max="5888" width="9" style="398"/>
    <col min="5889" max="5889" width="9.08984375" style="398" customWidth="1"/>
    <col min="5890" max="5890" width="9.453125" style="398" bestFit="1" customWidth="1"/>
    <col min="5891" max="5891" width="21.6328125" style="398" customWidth="1"/>
    <col min="5892" max="5892" width="57.36328125" style="398" customWidth="1"/>
    <col min="5893" max="5893" width="73.453125" style="398" customWidth="1"/>
    <col min="5894" max="5894" width="70.6328125" style="398" bestFit="1" customWidth="1"/>
    <col min="5895" max="6144" width="9" style="398"/>
    <col min="6145" max="6145" width="9.08984375" style="398" customWidth="1"/>
    <col min="6146" max="6146" width="9.453125" style="398" bestFit="1" customWidth="1"/>
    <col min="6147" max="6147" width="21.6328125" style="398" customWidth="1"/>
    <col min="6148" max="6148" width="57.36328125" style="398" customWidth="1"/>
    <col min="6149" max="6149" width="73.453125" style="398" customWidth="1"/>
    <col min="6150" max="6150" width="70.6328125" style="398" bestFit="1" customWidth="1"/>
    <col min="6151" max="6400" width="9" style="398"/>
    <col min="6401" max="6401" width="9.08984375" style="398" customWidth="1"/>
    <col min="6402" max="6402" width="9.453125" style="398" bestFit="1" customWidth="1"/>
    <col min="6403" max="6403" width="21.6328125" style="398" customWidth="1"/>
    <col min="6404" max="6404" width="57.36328125" style="398" customWidth="1"/>
    <col min="6405" max="6405" width="73.453125" style="398" customWidth="1"/>
    <col min="6406" max="6406" width="70.6328125" style="398" bestFit="1" customWidth="1"/>
    <col min="6407" max="6656" width="9" style="398"/>
    <col min="6657" max="6657" width="9.08984375" style="398" customWidth="1"/>
    <col min="6658" max="6658" width="9.453125" style="398" bestFit="1" customWidth="1"/>
    <col min="6659" max="6659" width="21.6328125" style="398" customWidth="1"/>
    <col min="6660" max="6660" width="57.36328125" style="398" customWidth="1"/>
    <col min="6661" max="6661" width="73.453125" style="398" customWidth="1"/>
    <col min="6662" max="6662" width="70.6328125" style="398" bestFit="1" customWidth="1"/>
    <col min="6663" max="6912" width="9" style="398"/>
    <col min="6913" max="6913" width="9.08984375" style="398" customWidth="1"/>
    <col min="6914" max="6914" width="9.453125" style="398" bestFit="1" customWidth="1"/>
    <col min="6915" max="6915" width="21.6328125" style="398" customWidth="1"/>
    <col min="6916" max="6916" width="57.36328125" style="398" customWidth="1"/>
    <col min="6917" max="6917" width="73.453125" style="398" customWidth="1"/>
    <col min="6918" max="6918" width="70.6328125" style="398" bestFit="1" customWidth="1"/>
    <col min="6919" max="7168" width="9" style="398"/>
    <col min="7169" max="7169" width="9.08984375" style="398" customWidth="1"/>
    <col min="7170" max="7170" width="9.453125" style="398" bestFit="1" customWidth="1"/>
    <col min="7171" max="7171" width="21.6328125" style="398" customWidth="1"/>
    <col min="7172" max="7172" width="57.36328125" style="398" customWidth="1"/>
    <col min="7173" max="7173" width="73.453125" style="398" customWidth="1"/>
    <col min="7174" max="7174" width="70.6328125" style="398" bestFit="1" customWidth="1"/>
    <col min="7175" max="7424" width="9" style="398"/>
    <col min="7425" max="7425" width="9.08984375" style="398" customWidth="1"/>
    <col min="7426" max="7426" width="9.453125" style="398" bestFit="1" customWidth="1"/>
    <col min="7427" max="7427" width="21.6328125" style="398" customWidth="1"/>
    <col min="7428" max="7428" width="57.36328125" style="398" customWidth="1"/>
    <col min="7429" max="7429" width="73.453125" style="398" customWidth="1"/>
    <col min="7430" max="7430" width="70.6328125" style="398" bestFit="1" customWidth="1"/>
    <col min="7431" max="7680" width="9" style="398"/>
    <col min="7681" max="7681" width="9.08984375" style="398" customWidth="1"/>
    <col min="7682" max="7682" width="9.453125" style="398" bestFit="1" customWidth="1"/>
    <col min="7683" max="7683" width="21.6328125" style="398" customWidth="1"/>
    <col min="7684" max="7684" width="57.36328125" style="398" customWidth="1"/>
    <col min="7685" max="7685" width="73.453125" style="398" customWidth="1"/>
    <col min="7686" max="7686" width="70.6328125" style="398" bestFit="1" customWidth="1"/>
    <col min="7687" max="7936" width="9" style="398"/>
    <col min="7937" max="7937" width="9.08984375" style="398" customWidth="1"/>
    <col min="7938" max="7938" width="9.453125" style="398" bestFit="1" customWidth="1"/>
    <col min="7939" max="7939" width="21.6328125" style="398" customWidth="1"/>
    <col min="7940" max="7940" width="57.36328125" style="398" customWidth="1"/>
    <col min="7941" max="7941" width="73.453125" style="398" customWidth="1"/>
    <col min="7942" max="7942" width="70.6328125" style="398" bestFit="1" customWidth="1"/>
    <col min="7943" max="8192" width="9" style="398"/>
    <col min="8193" max="8193" width="9.08984375" style="398" customWidth="1"/>
    <col min="8194" max="8194" width="9.453125" style="398" bestFit="1" customWidth="1"/>
    <col min="8195" max="8195" width="21.6328125" style="398" customWidth="1"/>
    <col min="8196" max="8196" width="57.36328125" style="398" customWidth="1"/>
    <col min="8197" max="8197" width="73.453125" style="398" customWidth="1"/>
    <col min="8198" max="8198" width="70.6328125" style="398" bestFit="1" customWidth="1"/>
    <col min="8199" max="8448" width="9" style="398"/>
    <col min="8449" max="8449" width="9.08984375" style="398" customWidth="1"/>
    <col min="8450" max="8450" width="9.453125" style="398" bestFit="1" customWidth="1"/>
    <col min="8451" max="8451" width="21.6328125" style="398" customWidth="1"/>
    <col min="8452" max="8452" width="57.36328125" style="398" customWidth="1"/>
    <col min="8453" max="8453" width="73.453125" style="398" customWidth="1"/>
    <col min="8454" max="8454" width="70.6328125" style="398" bestFit="1" customWidth="1"/>
    <col min="8455" max="8704" width="9" style="398"/>
    <col min="8705" max="8705" width="9.08984375" style="398" customWidth="1"/>
    <col min="8706" max="8706" width="9.453125" style="398" bestFit="1" customWidth="1"/>
    <col min="8707" max="8707" width="21.6328125" style="398" customWidth="1"/>
    <col min="8708" max="8708" width="57.36328125" style="398" customWidth="1"/>
    <col min="8709" max="8709" width="73.453125" style="398" customWidth="1"/>
    <col min="8710" max="8710" width="70.6328125" style="398" bestFit="1" customWidth="1"/>
    <col min="8711" max="8960" width="9" style="398"/>
    <col min="8961" max="8961" width="9.08984375" style="398" customWidth="1"/>
    <col min="8962" max="8962" width="9.453125" style="398" bestFit="1" customWidth="1"/>
    <col min="8963" max="8963" width="21.6328125" style="398" customWidth="1"/>
    <col min="8964" max="8964" width="57.36328125" style="398" customWidth="1"/>
    <col min="8965" max="8965" width="73.453125" style="398" customWidth="1"/>
    <col min="8966" max="8966" width="70.6328125" style="398" bestFit="1" customWidth="1"/>
    <col min="8967" max="9216" width="9" style="398"/>
    <col min="9217" max="9217" width="9.08984375" style="398" customWidth="1"/>
    <col min="9218" max="9218" width="9.453125" style="398" bestFit="1" customWidth="1"/>
    <col min="9219" max="9219" width="21.6328125" style="398" customWidth="1"/>
    <col min="9220" max="9220" width="57.36328125" style="398" customWidth="1"/>
    <col min="9221" max="9221" width="73.453125" style="398" customWidth="1"/>
    <col min="9222" max="9222" width="70.6328125" style="398" bestFit="1" customWidth="1"/>
    <col min="9223" max="9472" width="9" style="398"/>
    <col min="9473" max="9473" width="9.08984375" style="398" customWidth="1"/>
    <col min="9474" max="9474" width="9.453125" style="398" bestFit="1" customWidth="1"/>
    <col min="9475" max="9475" width="21.6328125" style="398" customWidth="1"/>
    <col min="9476" max="9476" width="57.36328125" style="398" customWidth="1"/>
    <col min="9477" max="9477" width="73.453125" style="398" customWidth="1"/>
    <col min="9478" max="9478" width="70.6328125" style="398" bestFit="1" customWidth="1"/>
    <col min="9479" max="9728" width="9" style="398"/>
    <col min="9729" max="9729" width="9.08984375" style="398" customWidth="1"/>
    <col min="9730" max="9730" width="9.453125" style="398" bestFit="1" customWidth="1"/>
    <col min="9731" max="9731" width="21.6328125" style="398" customWidth="1"/>
    <col min="9732" max="9732" width="57.36328125" style="398" customWidth="1"/>
    <col min="9733" max="9733" width="73.453125" style="398" customWidth="1"/>
    <col min="9734" max="9734" width="70.6328125" style="398" bestFit="1" customWidth="1"/>
    <col min="9735" max="9984" width="9" style="398"/>
    <col min="9985" max="9985" width="9.08984375" style="398" customWidth="1"/>
    <col min="9986" max="9986" width="9.453125" style="398" bestFit="1" customWidth="1"/>
    <col min="9987" max="9987" width="21.6328125" style="398" customWidth="1"/>
    <col min="9988" max="9988" width="57.36328125" style="398" customWidth="1"/>
    <col min="9989" max="9989" width="73.453125" style="398" customWidth="1"/>
    <col min="9990" max="9990" width="70.6328125" style="398" bestFit="1" customWidth="1"/>
    <col min="9991" max="10240" width="9" style="398"/>
    <col min="10241" max="10241" width="9.08984375" style="398" customWidth="1"/>
    <col min="10242" max="10242" width="9.453125" style="398" bestFit="1" customWidth="1"/>
    <col min="10243" max="10243" width="21.6328125" style="398" customWidth="1"/>
    <col min="10244" max="10244" width="57.36328125" style="398" customWidth="1"/>
    <col min="10245" max="10245" width="73.453125" style="398" customWidth="1"/>
    <col min="10246" max="10246" width="70.6328125" style="398" bestFit="1" customWidth="1"/>
    <col min="10247" max="10496" width="9" style="398"/>
    <col min="10497" max="10497" width="9.08984375" style="398" customWidth="1"/>
    <col min="10498" max="10498" width="9.453125" style="398" bestFit="1" customWidth="1"/>
    <col min="10499" max="10499" width="21.6328125" style="398" customWidth="1"/>
    <col min="10500" max="10500" width="57.36328125" style="398" customWidth="1"/>
    <col min="10501" max="10501" width="73.453125" style="398" customWidth="1"/>
    <col min="10502" max="10502" width="70.6328125" style="398" bestFit="1" customWidth="1"/>
    <col min="10503" max="10752" width="9" style="398"/>
    <col min="10753" max="10753" width="9.08984375" style="398" customWidth="1"/>
    <col min="10754" max="10754" width="9.453125" style="398" bestFit="1" customWidth="1"/>
    <col min="10755" max="10755" width="21.6328125" style="398" customWidth="1"/>
    <col min="10756" max="10756" width="57.36328125" style="398" customWidth="1"/>
    <col min="10757" max="10757" width="73.453125" style="398" customWidth="1"/>
    <col min="10758" max="10758" width="70.6328125" style="398" bestFit="1" customWidth="1"/>
    <col min="10759" max="11008" width="9" style="398"/>
    <col min="11009" max="11009" width="9.08984375" style="398" customWidth="1"/>
    <col min="11010" max="11010" width="9.453125" style="398" bestFit="1" customWidth="1"/>
    <col min="11011" max="11011" width="21.6328125" style="398" customWidth="1"/>
    <col min="11012" max="11012" width="57.36328125" style="398" customWidth="1"/>
    <col min="11013" max="11013" width="73.453125" style="398" customWidth="1"/>
    <col min="11014" max="11014" width="70.6328125" style="398" bestFit="1" customWidth="1"/>
    <col min="11015" max="11264" width="9" style="398"/>
    <col min="11265" max="11265" width="9.08984375" style="398" customWidth="1"/>
    <col min="11266" max="11266" width="9.453125" style="398" bestFit="1" customWidth="1"/>
    <col min="11267" max="11267" width="21.6328125" style="398" customWidth="1"/>
    <col min="11268" max="11268" width="57.36328125" style="398" customWidth="1"/>
    <col min="11269" max="11269" width="73.453125" style="398" customWidth="1"/>
    <col min="11270" max="11270" width="70.6328125" style="398" bestFit="1" customWidth="1"/>
    <col min="11271" max="11520" width="9" style="398"/>
    <col min="11521" max="11521" width="9.08984375" style="398" customWidth="1"/>
    <col min="11522" max="11522" width="9.453125" style="398" bestFit="1" customWidth="1"/>
    <col min="11523" max="11523" width="21.6328125" style="398" customWidth="1"/>
    <col min="11524" max="11524" width="57.36328125" style="398" customWidth="1"/>
    <col min="11525" max="11525" width="73.453125" style="398" customWidth="1"/>
    <col min="11526" max="11526" width="70.6328125" style="398" bestFit="1" customWidth="1"/>
    <col min="11527" max="11776" width="9" style="398"/>
    <col min="11777" max="11777" width="9.08984375" style="398" customWidth="1"/>
    <col min="11778" max="11778" width="9.453125" style="398" bestFit="1" customWidth="1"/>
    <col min="11779" max="11779" width="21.6328125" style="398" customWidth="1"/>
    <col min="11780" max="11780" width="57.36328125" style="398" customWidth="1"/>
    <col min="11781" max="11781" width="73.453125" style="398" customWidth="1"/>
    <col min="11782" max="11782" width="70.6328125" style="398" bestFit="1" customWidth="1"/>
    <col min="11783" max="12032" width="9" style="398"/>
    <col min="12033" max="12033" width="9.08984375" style="398" customWidth="1"/>
    <col min="12034" max="12034" width="9.453125" style="398" bestFit="1" customWidth="1"/>
    <col min="12035" max="12035" width="21.6328125" style="398" customWidth="1"/>
    <col min="12036" max="12036" width="57.36328125" style="398" customWidth="1"/>
    <col min="12037" max="12037" width="73.453125" style="398" customWidth="1"/>
    <col min="12038" max="12038" width="70.6328125" style="398" bestFit="1" customWidth="1"/>
    <col min="12039" max="12288" width="9" style="398"/>
    <col min="12289" max="12289" width="9.08984375" style="398" customWidth="1"/>
    <col min="12290" max="12290" width="9.453125" style="398" bestFit="1" customWidth="1"/>
    <col min="12291" max="12291" width="21.6328125" style="398" customWidth="1"/>
    <col min="12292" max="12292" width="57.36328125" style="398" customWidth="1"/>
    <col min="12293" max="12293" width="73.453125" style="398" customWidth="1"/>
    <col min="12294" max="12294" width="70.6328125" style="398" bestFit="1" customWidth="1"/>
    <col min="12295" max="12544" width="9" style="398"/>
    <col min="12545" max="12545" width="9.08984375" style="398" customWidth="1"/>
    <col min="12546" max="12546" width="9.453125" style="398" bestFit="1" customWidth="1"/>
    <col min="12547" max="12547" width="21.6328125" style="398" customWidth="1"/>
    <col min="12548" max="12548" width="57.36328125" style="398" customWidth="1"/>
    <col min="12549" max="12549" width="73.453125" style="398" customWidth="1"/>
    <col min="12550" max="12550" width="70.6328125" style="398" bestFit="1" customWidth="1"/>
    <col min="12551" max="12800" width="9" style="398"/>
    <col min="12801" max="12801" width="9.08984375" style="398" customWidth="1"/>
    <col min="12802" max="12802" width="9.453125" style="398" bestFit="1" customWidth="1"/>
    <col min="12803" max="12803" width="21.6328125" style="398" customWidth="1"/>
    <col min="12804" max="12804" width="57.36328125" style="398" customWidth="1"/>
    <col min="12805" max="12805" width="73.453125" style="398" customWidth="1"/>
    <col min="12806" max="12806" width="70.6328125" style="398" bestFit="1" customWidth="1"/>
    <col min="12807" max="13056" width="9" style="398"/>
    <col min="13057" max="13057" width="9.08984375" style="398" customWidth="1"/>
    <col min="13058" max="13058" width="9.453125" style="398" bestFit="1" customWidth="1"/>
    <col min="13059" max="13059" width="21.6328125" style="398" customWidth="1"/>
    <col min="13060" max="13060" width="57.36328125" style="398" customWidth="1"/>
    <col min="13061" max="13061" width="73.453125" style="398" customWidth="1"/>
    <col min="13062" max="13062" width="70.6328125" style="398" bestFit="1" customWidth="1"/>
    <col min="13063" max="13312" width="9" style="398"/>
    <col min="13313" max="13313" width="9.08984375" style="398" customWidth="1"/>
    <col min="13314" max="13314" width="9.453125" style="398" bestFit="1" customWidth="1"/>
    <col min="13315" max="13315" width="21.6328125" style="398" customWidth="1"/>
    <col min="13316" max="13316" width="57.36328125" style="398" customWidth="1"/>
    <col min="13317" max="13317" width="73.453125" style="398" customWidth="1"/>
    <col min="13318" max="13318" width="70.6328125" style="398" bestFit="1" customWidth="1"/>
    <col min="13319" max="13568" width="9" style="398"/>
    <col min="13569" max="13569" width="9.08984375" style="398" customWidth="1"/>
    <col min="13570" max="13570" width="9.453125" style="398" bestFit="1" customWidth="1"/>
    <col min="13571" max="13571" width="21.6328125" style="398" customWidth="1"/>
    <col min="13572" max="13572" width="57.36328125" style="398" customWidth="1"/>
    <col min="13573" max="13573" width="73.453125" style="398" customWidth="1"/>
    <col min="13574" max="13574" width="70.6328125" style="398" bestFit="1" customWidth="1"/>
    <col min="13575" max="13824" width="9" style="398"/>
    <col min="13825" max="13825" width="9.08984375" style="398" customWidth="1"/>
    <col min="13826" max="13826" width="9.453125" style="398" bestFit="1" customWidth="1"/>
    <col min="13827" max="13827" width="21.6328125" style="398" customWidth="1"/>
    <col min="13828" max="13828" width="57.36328125" style="398" customWidth="1"/>
    <col min="13829" max="13829" width="73.453125" style="398" customWidth="1"/>
    <col min="13830" max="13830" width="70.6328125" style="398" bestFit="1" customWidth="1"/>
    <col min="13831" max="14080" width="9" style="398"/>
    <col min="14081" max="14081" width="9.08984375" style="398" customWidth="1"/>
    <col min="14082" max="14082" width="9.453125" style="398" bestFit="1" customWidth="1"/>
    <col min="14083" max="14083" width="21.6328125" style="398" customWidth="1"/>
    <col min="14084" max="14084" width="57.36328125" style="398" customWidth="1"/>
    <col min="14085" max="14085" width="73.453125" style="398" customWidth="1"/>
    <col min="14086" max="14086" width="70.6328125" style="398" bestFit="1" customWidth="1"/>
    <col min="14087" max="14336" width="9" style="398"/>
    <col min="14337" max="14337" width="9.08984375" style="398" customWidth="1"/>
    <col min="14338" max="14338" width="9.453125" style="398" bestFit="1" customWidth="1"/>
    <col min="14339" max="14339" width="21.6328125" style="398" customWidth="1"/>
    <col min="14340" max="14340" width="57.36328125" style="398" customWidth="1"/>
    <col min="14341" max="14341" width="73.453125" style="398" customWidth="1"/>
    <col min="14342" max="14342" width="70.6328125" style="398" bestFit="1" customWidth="1"/>
    <col min="14343" max="14592" width="9" style="398"/>
    <col min="14593" max="14593" width="9.08984375" style="398" customWidth="1"/>
    <col min="14594" max="14594" width="9.453125" style="398" bestFit="1" customWidth="1"/>
    <col min="14595" max="14595" width="21.6328125" style="398" customWidth="1"/>
    <col min="14596" max="14596" width="57.36328125" style="398" customWidth="1"/>
    <col min="14597" max="14597" width="73.453125" style="398" customWidth="1"/>
    <col min="14598" max="14598" width="70.6328125" style="398" bestFit="1" customWidth="1"/>
    <col min="14599" max="14848" width="9" style="398"/>
    <col min="14849" max="14849" width="9.08984375" style="398" customWidth="1"/>
    <col min="14850" max="14850" width="9.453125" style="398" bestFit="1" customWidth="1"/>
    <col min="14851" max="14851" width="21.6328125" style="398" customWidth="1"/>
    <col min="14852" max="14852" width="57.36328125" style="398" customWidth="1"/>
    <col min="14853" max="14853" width="73.453125" style="398" customWidth="1"/>
    <col min="14854" max="14854" width="70.6328125" style="398" bestFit="1" customWidth="1"/>
    <col min="14855" max="15104" width="9" style="398"/>
    <col min="15105" max="15105" width="9.08984375" style="398" customWidth="1"/>
    <col min="15106" max="15106" width="9.453125" style="398" bestFit="1" customWidth="1"/>
    <col min="15107" max="15107" width="21.6328125" style="398" customWidth="1"/>
    <col min="15108" max="15108" width="57.36328125" style="398" customWidth="1"/>
    <col min="15109" max="15109" width="73.453125" style="398" customWidth="1"/>
    <col min="15110" max="15110" width="70.6328125" style="398" bestFit="1" customWidth="1"/>
    <col min="15111" max="15360" width="9" style="398"/>
    <col min="15361" max="15361" width="9.08984375" style="398" customWidth="1"/>
    <col min="15362" max="15362" width="9.453125" style="398" bestFit="1" customWidth="1"/>
    <col min="15363" max="15363" width="21.6328125" style="398" customWidth="1"/>
    <col min="15364" max="15364" width="57.36328125" style="398" customWidth="1"/>
    <col min="15365" max="15365" width="73.453125" style="398" customWidth="1"/>
    <col min="15366" max="15366" width="70.6328125" style="398" bestFit="1" customWidth="1"/>
    <col min="15367" max="15616" width="9" style="398"/>
    <col min="15617" max="15617" width="9.08984375" style="398" customWidth="1"/>
    <col min="15618" max="15618" width="9.453125" style="398" bestFit="1" customWidth="1"/>
    <col min="15619" max="15619" width="21.6328125" style="398" customWidth="1"/>
    <col min="15620" max="15620" width="57.36328125" style="398" customWidth="1"/>
    <col min="15621" max="15621" width="73.453125" style="398" customWidth="1"/>
    <col min="15622" max="15622" width="70.6328125" style="398" bestFit="1" customWidth="1"/>
    <col min="15623" max="15872" width="9" style="398"/>
    <col min="15873" max="15873" width="9.08984375" style="398" customWidth="1"/>
    <col min="15874" max="15874" width="9.453125" style="398" bestFit="1" customWidth="1"/>
    <col min="15875" max="15875" width="21.6328125" style="398" customWidth="1"/>
    <col min="15876" max="15876" width="57.36328125" style="398" customWidth="1"/>
    <col min="15877" max="15877" width="73.453125" style="398" customWidth="1"/>
    <col min="15878" max="15878" width="70.6328125" style="398" bestFit="1" customWidth="1"/>
    <col min="15879" max="16128" width="9" style="398"/>
    <col min="16129" max="16129" width="9.08984375" style="398" customWidth="1"/>
    <col min="16130" max="16130" width="9.453125" style="398" bestFit="1" customWidth="1"/>
    <col min="16131" max="16131" width="21.6328125" style="398" customWidth="1"/>
    <col min="16132" max="16132" width="57.36328125" style="398" customWidth="1"/>
    <col min="16133" max="16133" width="73.453125" style="398" customWidth="1"/>
    <col min="16134" max="16134" width="70.6328125" style="398" bestFit="1" customWidth="1"/>
    <col min="16135" max="16384" width="9" style="398"/>
  </cols>
  <sheetData>
    <row r="1" spans="1:8">
      <c r="E1" s="468" t="s">
        <v>1073</v>
      </c>
      <c r="F1" s="468" t="s">
        <v>1073</v>
      </c>
      <c r="G1" s="468" t="s">
        <v>1073</v>
      </c>
      <c r="H1" s="468" t="s">
        <v>1073</v>
      </c>
    </row>
    <row r="2" spans="1:8" ht="26.5">
      <c r="B2" s="421" t="s">
        <v>1886</v>
      </c>
    </row>
    <row r="4" spans="1:8">
      <c r="B4" s="420" t="s">
        <v>1885</v>
      </c>
      <c r="C4" s="422" t="str">
        <f ca="1">IF(G5=0,"該当する業種を一覧の中からご選択ください。",OFFSET(C6,G5,0))</f>
        <v>飲食業 スナック　ｸﾗﾌﾞ　ｷｬﾊﾞﾚー</v>
      </c>
      <c r="D4" s="424" t="str">
        <f ca="1">IF(H5=1,"チェックシートのご入力が必要です。","")</f>
        <v>チェックシートのご入力が必要です。</v>
      </c>
      <c r="G4" s="418" t="str">
        <f ca="1">IF(G5=0,0,OFFSET(G6,G5,0))</f>
        <v>00000015</v>
      </c>
      <c r="H4" s="418">
        <f>【楽天Edy用記入シート】チェックシート!J3</f>
        <v>25</v>
      </c>
    </row>
    <row r="5" spans="1:8">
      <c r="G5" s="419">
        <v>7</v>
      </c>
      <c r="H5" s="425">
        <f ca="1">IF(G5=0,"",IF(VLOOKUP(G4,G7:H117,2,FALSE)="必要",1,0))</f>
        <v>1</v>
      </c>
    </row>
    <row r="6" spans="1:8" ht="30">
      <c r="B6" s="417" t="s">
        <v>1884</v>
      </c>
      <c r="C6" s="402" t="s">
        <v>888</v>
      </c>
      <c r="D6" s="402" t="s">
        <v>1460</v>
      </c>
      <c r="E6" s="402" t="s">
        <v>1461</v>
      </c>
      <c r="F6" s="399" t="s">
        <v>1458</v>
      </c>
      <c r="G6" s="400" t="s">
        <v>1459</v>
      </c>
      <c r="H6" s="401" t="s">
        <v>1882</v>
      </c>
    </row>
    <row r="7" spans="1:8" ht="16">
      <c r="A7" s="467"/>
      <c r="B7" s="416"/>
      <c r="C7" s="408" t="s">
        <v>1465</v>
      </c>
      <c r="D7" s="408" t="s">
        <v>1466</v>
      </c>
      <c r="E7" s="408" t="s">
        <v>1880</v>
      </c>
      <c r="F7" s="398" t="s">
        <v>1879</v>
      </c>
      <c r="G7" s="403" t="s">
        <v>1463</v>
      </c>
      <c r="H7" s="411"/>
    </row>
    <row r="8" spans="1:8" ht="16">
      <c r="A8" s="467"/>
      <c r="B8" s="416"/>
      <c r="C8" s="408" t="s">
        <v>1468</v>
      </c>
      <c r="D8" s="408" t="s">
        <v>1469</v>
      </c>
      <c r="E8" s="408" t="s">
        <v>1470</v>
      </c>
      <c r="F8" s="398" t="s">
        <v>1462</v>
      </c>
      <c r="G8" s="404" t="s">
        <v>1467</v>
      </c>
      <c r="H8" s="411"/>
    </row>
    <row r="9" spans="1:8" ht="16">
      <c r="A9" s="467"/>
      <c r="B9" s="416"/>
      <c r="C9" s="408" t="s">
        <v>1472</v>
      </c>
      <c r="D9" s="408" t="s">
        <v>1473</v>
      </c>
      <c r="E9" s="408" t="s">
        <v>1474</v>
      </c>
      <c r="F9" s="398" t="s">
        <v>1462</v>
      </c>
      <c r="G9" s="404" t="s">
        <v>1471</v>
      </c>
      <c r="H9" s="411" t="s">
        <v>1464</v>
      </c>
    </row>
    <row r="10" spans="1:8" ht="16">
      <c r="A10" s="467"/>
      <c r="B10" s="416"/>
      <c r="C10" s="408" t="s">
        <v>1476</v>
      </c>
      <c r="D10" s="408" t="s">
        <v>1477</v>
      </c>
      <c r="E10" s="408" t="s">
        <v>1470</v>
      </c>
      <c r="F10" s="398" t="s">
        <v>1462</v>
      </c>
      <c r="G10" s="404" t="s">
        <v>1475</v>
      </c>
      <c r="H10" s="411" t="s">
        <v>1464</v>
      </c>
    </row>
    <row r="11" spans="1:8" ht="16">
      <c r="A11" s="467"/>
      <c r="B11" s="416"/>
      <c r="C11" s="408" t="s">
        <v>1479</v>
      </c>
      <c r="D11" s="408" t="s">
        <v>1480</v>
      </c>
      <c r="E11" s="408" t="s">
        <v>1470</v>
      </c>
      <c r="F11" s="398" t="s">
        <v>1462</v>
      </c>
      <c r="G11" s="404" t="s">
        <v>1478</v>
      </c>
      <c r="H11" s="411" t="s">
        <v>1464</v>
      </c>
    </row>
    <row r="12" spans="1:8" ht="16">
      <c r="A12" s="467"/>
      <c r="B12" s="416"/>
      <c r="C12" s="408" t="s">
        <v>1482</v>
      </c>
      <c r="D12" s="408" t="s">
        <v>1483</v>
      </c>
      <c r="E12" s="408" t="s">
        <v>1484</v>
      </c>
      <c r="F12" s="398" t="s">
        <v>1462</v>
      </c>
      <c r="G12" s="404" t="s">
        <v>1481</v>
      </c>
      <c r="H12" s="411" t="s">
        <v>1464</v>
      </c>
    </row>
    <row r="13" spans="1:8" ht="16">
      <c r="A13" s="467"/>
      <c r="B13" s="416"/>
      <c r="C13" s="408" t="s">
        <v>3846</v>
      </c>
      <c r="D13" s="412" t="s">
        <v>1488</v>
      </c>
      <c r="E13" s="408" t="s">
        <v>1470</v>
      </c>
      <c r="F13" s="398" t="s">
        <v>1462</v>
      </c>
      <c r="G13" s="404" t="s">
        <v>1485</v>
      </c>
      <c r="H13" s="411" t="s">
        <v>1486</v>
      </c>
    </row>
    <row r="14" spans="1:8" ht="16">
      <c r="A14" s="467"/>
      <c r="B14" s="416"/>
      <c r="C14" s="408" t="s">
        <v>1490</v>
      </c>
      <c r="D14" s="408" t="s">
        <v>1491</v>
      </c>
      <c r="E14" s="408" t="s">
        <v>1492</v>
      </c>
      <c r="F14" s="398" t="s">
        <v>1462</v>
      </c>
      <c r="G14" s="404" t="s">
        <v>1489</v>
      </c>
      <c r="H14" s="411" t="s">
        <v>1890</v>
      </c>
    </row>
    <row r="15" spans="1:8" ht="16">
      <c r="A15" s="467"/>
      <c r="B15" s="416"/>
      <c r="C15" s="408" t="s">
        <v>1493</v>
      </c>
      <c r="D15" s="408" t="s">
        <v>1494</v>
      </c>
      <c r="E15" s="408" t="s">
        <v>1878</v>
      </c>
      <c r="F15" s="398" t="s">
        <v>1462</v>
      </c>
      <c r="G15" s="404" t="s">
        <v>1881</v>
      </c>
      <c r="H15" s="411" t="s">
        <v>1464</v>
      </c>
    </row>
    <row r="16" spans="1:8" ht="16">
      <c r="A16" s="467"/>
      <c r="B16" s="416"/>
      <c r="C16" s="408" t="s">
        <v>1495</v>
      </c>
      <c r="D16" s="408" t="s">
        <v>1496</v>
      </c>
      <c r="E16" s="408" t="s">
        <v>1497</v>
      </c>
      <c r="F16" s="398" t="s">
        <v>1462</v>
      </c>
      <c r="G16" s="405" t="s">
        <v>1877</v>
      </c>
      <c r="H16" s="411" t="s">
        <v>1464</v>
      </c>
    </row>
    <row r="17" spans="1:8" ht="16">
      <c r="A17" s="467"/>
      <c r="B17" s="416"/>
      <c r="C17" s="408" t="s">
        <v>1499</v>
      </c>
      <c r="D17" s="408" t="s">
        <v>1500</v>
      </c>
      <c r="E17" s="408" t="s">
        <v>1470</v>
      </c>
      <c r="F17" s="398" t="s">
        <v>1462</v>
      </c>
      <c r="G17" s="404" t="s">
        <v>1498</v>
      </c>
      <c r="H17" s="411" t="s">
        <v>1464</v>
      </c>
    </row>
    <row r="18" spans="1:8" ht="16">
      <c r="A18" s="467"/>
      <c r="B18" s="416"/>
      <c r="C18" s="408" t="s">
        <v>1502</v>
      </c>
      <c r="D18" s="408" t="s">
        <v>1503</v>
      </c>
      <c r="E18" s="408" t="s">
        <v>1504</v>
      </c>
      <c r="F18" s="398" t="s">
        <v>1462</v>
      </c>
      <c r="G18" s="404" t="s">
        <v>1501</v>
      </c>
      <c r="H18" s="411" t="s">
        <v>1464</v>
      </c>
    </row>
    <row r="19" spans="1:8" ht="16">
      <c r="A19" s="467"/>
      <c r="B19" s="416"/>
      <c r="C19" s="408" t="s">
        <v>1506</v>
      </c>
      <c r="D19" s="408" t="s">
        <v>1507</v>
      </c>
      <c r="E19" s="408" t="s">
        <v>1470</v>
      </c>
      <c r="F19" s="398" t="s">
        <v>1462</v>
      </c>
      <c r="G19" s="404" t="s">
        <v>1505</v>
      </c>
      <c r="H19" s="411" t="s">
        <v>1464</v>
      </c>
    </row>
    <row r="20" spans="1:8" ht="16">
      <c r="A20" s="467"/>
      <c r="B20" s="416"/>
      <c r="C20" s="408" t="s">
        <v>1509</v>
      </c>
      <c r="D20" s="408" t="s">
        <v>1510</v>
      </c>
      <c r="E20" s="408" t="s">
        <v>1511</v>
      </c>
      <c r="F20" s="398" t="s">
        <v>1462</v>
      </c>
      <c r="G20" s="404" t="s">
        <v>1508</v>
      </c>
      <c r="H20" s="411" t="s">
        <v>1464</v>
      </c>
    </row>
    <row r="21" spans="1:8" ht="16">
      <c r="A21" s="467"/>
      <c r="B21" s="416"/>
      <c r="C21" s="408" t="s">
        <v>1513</v>
      </c>
      <c r="D21" s="408" t="s">
        <v>1514</v>
      </c>
      <c r="E21" s="408" t="s">
        <v>1515</v>
      </c>
      <c r="F21" s="398" t="s">
        <v>1462</v>
      </c>
      <c r="G21" s="404" t="s">
        <v>1512</v>
      </c>
      <c r="H21" s="411" t="s">
        <v>1464</v>
      </c>
    </row>
    <row r="22" spans="1:8" ht="16">
      <c r="A22" s="467"/>
      <c r="B22" s="416"/>
      <c r="C22" s="408" t="s">
        <v>1517</v>
      </c>
      <c r="D22" s="408" t="s">
        <v>1518</v>
      </c>
      <c r="E22" s="408" t="s">
        <v>1519</v>
      </c>
      <c r="F22" s="398" t="s">
        <v>1462</v>
      </c>
      <c r="G22" s="404" t="s">
        <v>1516</v>
      </c>
      <c r="H22" s="411" t="s">
        <v>1464</v>
      </c>
    </row>
    <row r="23" spans="1:8" ht="16">
      <c r="A23" s="467"/>
      <c r="B23" s="416"/>
      <c r="C23" s="408" t="s">
        <v>1521</v>
      </c>
      <c r="D23" s="408" t="s">
        <v>1522</v>
      </c>
      <c r="E23" s="408" t="s">
        <v>1523</v>
      </c>
      <c r="F23" s="398" t="s">
        <v>1462</v>
      </c>
      <c r="G23" s="404" t="s">
        <v>1520</v>
      </c>
      <c r="H23" s="411" t="s">
        <v>1464</v>
      </c>
    </row>
    <row r="24" spans="1:8" ht="16">
      <c r="A24" s="467"/>
      <c r="B24" s="416"/>
      <c r="C24" s="408" t="s">
        <v>1525</v>
      </c>
      <c r="D24" s="408" t="s">
        <v>1526</v>
      </c>
      <c r="E24" s="408" t="s">
        <v>1527</v>
      </c>
      <c r="F24" s="398" t="s">
        <v>1462</v>
      </c>
      <c r="G24" s="404" t="s">
        <v>1524</v>
      </c>
      <c r="H24" s="411" t="s">
        <v>1464</v>
      </c>
    </row>
    <row r="25" spans="1:8" ht="16">
      <c r="A25" s="467"/>
      <c r="B25" s="416"/>
      <c r="C25" s="408" t="s">
        <v>1529</v>
      </c>
      <c r="D25" s="408" t="s">
        <v>1530</v>
      </c>
      <c r="E25" s="408" t="s">
        <v>1531</v>
      </c>
      <c r="F25" s="398" t="s">
        <v>1462</v>
      </c>
      <c r="G25" s="406" t="s">
        <v>1528</v>
      </c>
      <c r="H25" s="411" t="s">
        <v>1464</v>
      </c>
    </row>
    <row r="26" spans="1:8" ht="16">
      <c r="A26" s="467"/>
      <c r="B26" s="416"/>
      <c r="C26" s="408" t="s">
        <v>1533</v>
      </c>
      <c r="D26" s="408" t="s">
        <v>1534</v>
      </c>
      <c r="E26" s="408" t="s">
        <v>1535</v>
      </c>
      <c r="F26" s="398" t="s">
        <v>1462</v>
      </c>
      <c r="G26" s="404" t="s">
        <v>1532</v>
      </c>
      <c r="H26" s="411" t="s">
        <v>1464</v>
      </c>
    </row>
    <row r="27" spans="1:8" ht="16">
      <c r="A27" s="467"/>
      <c r="B27" s="416"/>
      <c r="C27" s="408" t="s">
        <v>1537</v>
      </c>
      <c r="D27" s="408" t="s">
        <v>1538</v>
      </c>
      <c r="E27" s="408" t="s">
        <v>1539</v>
      </c>
      <c r="F27" s="398" t="s">
        <v>1462</v>
      </c>
      <c r="G27" s="404" t="s">
        <v>1536</v>
      </c>
      <c r="H27" s="411" t="s">
        <v>1464</v>
      </c>
    </row>
    <row r="28" spans="1:8" ht="16">
      <c r="A28" s="467"/>
      <c r="B28" s="416"/>
      <c r="C28" s="408" t="s">
        <v>1541</v>
      </c>
      <c r="D28" s="408" t="s">
        <v>1542</v>
      </c>
      <c r="E28" s="408" t="s">
        <v>1543</v>
      </c>
      <c r="F28" s="398" t="s">
        <v>1462</v>
      </c>
      <c r="G28" s="404" t="s">
        <v>1540</v>
      </c>
      <c r="H28" s="411" t="s">
        <v>1464</v>
      </c>
    </row>
    <row r="29" spans="1:8" ht="16">
      <c r="A29" s="467"/>
      <c r="B29" s="416"/>
      <c r="C29" s="408" t="s">
        <v>1545</v>
      </c>
      <c r="D29" s="408" t="s">
        <v>1546</v>
      </c>
      <c r="E29" s="408" t="s">
        <v>1470</v>
      </c>
      <c r="F29" s="398" t="s">
        <v>1462</v>
      </c>
      <c r="G29" s="404" t="s">
        <v>1544</v>
      </c>
      <c r="H29" s="411" t="s">
        <v>1464</v>
      </c>
    </row>
    <row r="30" spans="1:8" ht="16">
      <c r="A30" s="467"/>
      <c r="B30" s="416"/>
      <c r="C30" s="408" t="s">
        <v>1548</v>
      </c>
      <c r="D30" s="408" t="s">
        <v>1549</v>
      </c>
      <c r="E30" s="408" t="s">
        <v>1550</v>
      </c>
      <c r="F30" s="398" t="s">
        <v>1462</v>
      </c>
      <c r="G30" s="404" t="s">
        <v>1547</v>
      </c>
      <c r="H30" s="411" t="s">
        <v>1464</v>
      </c>
    </row>
    <row r="31" spans="1:8" ht="16">
      <c r="A31" s="467"/>
      <c r="B31" s="416"/>
      <c r="C31" s="408" t="s">
        <v>1552</v>
      </c>
      <c r="D31" s="408" t="s">
        <v>1553</v>
      </c>
      <c r="E31" s="408" t="s">
        <v>1470</v>
      </c>
      <c r="F31" s="398" t="s">
        <v>1462</v>
      </c>
      <c r="G31" s="404" t="s">
        <v>1551</v>
      </c>
      <c r="H31" s="411" t="s">
        <v>1464</v>
      </c>
    </row>
    <row r="32" spans="1:8" ht="16">
      <c r="A32" s="467"/>
      <c r="B32" s="416"/>
      <c r="C32" s="408" t="s">
        <v>1555</v>
      </c>
      <c r="D32" s="408" t="s">
        <v>1556</v>
      </c>
      <c r="E32" s="408" t="s">
        <v>1557</v>
      </c>
      <c r="F32" s="398" t="s">
        <v>1462</v>
      </c>
      <c r="G32" s="404" t="s">
        <v>1554</v>
      </c>
      <c r="H32" s="411" t="s">
        <v>1464</v>
      </c>
    </row>
    <row r="33" spans="1:8" ht="16">
      <c r="A33" s="467"/>
      <c r="B33" s="416"/>
      <c r="C33" s="408" t="s">
        <v>1559</v>
      </c>
      <c r="D33" s="408" t="s">
        <v>1560</v>
      </c>
      <c r="E33" s="408" t="s">
        <v>1561</v>
      </c>
      <c r="F33" s="398" t="s">
        <v>1462</v>
      </c>
      <c r="G33" s="404" t="s">
        <v>1558</v>
      </c>
      <c r="H33" s="411" t="s">
        <v>1464</v>
      </c>
    </row>
    <row r="34" spans="1:8" ht="16">
      <c r="A34" s="467"/>
      <c r="B34" s="416"/>
      <c r="C34" s="408" t="s">
        <v>1563</v>
      </c>
      <c r="D34" s="408" t="s">
        <v>1564</v>
      </c>
      <c r="E34" s="408" t="s">
        <v>1565</v>
      </c>
      <c r="F34" s="398" t="s">
        <v>1462</v>
      </c>
      <c r="G34" s="404" t="s">
        <v>1562</v>
      </c>
      <c r="H34" s="411" t="s">
        <v>1464</v>
      </c>
    </row>
    <row r="35" spans="1:8" ht="16">
      <c r="A35" s="467"/>
      <c r="B35" s="416"/>
      <c r="C35" s="408" t="s">
        <v>1567</v>
      </c>
      <c r="D35" s="408" t="s">
        <v>1568</v>
      </c>
      <c r="E35" s="413"/>
      <c r="F35" s="398" t="s">
        <v>1462</v>
      </c>
      <c r="G35" s="404" t="s">
        <v>1566</v>
      </c>
      <c r="H35" s="411" t="s">
        <v>1486</v>
      </c>
    </row>
    <row r="36" spans="1:8" ht="16">
      <c r="A36" s="467"/>
      <c r="B36" s="416"/>
      <c r="C36" s="408" t="s">
        <v>1570</v>
      </c>
      <c r="D36" s="412" t="s">
        <v>1571</v>
      </c>
      <c r="E36" s="408" t="s">
        <v>1470</v>
      </c>
      <c r="F36" s="398" t="s">
        <v>1462</v>
      </c>
      <c r="G36" s="404" t="s">
        <v>1569</v>
      </c>
      <c r="H36" s="411" t="s">
        <v>1464</v>
      </c>
    </row>
    <row r="37" spans="1:8" ht="16">
      <c r="A37" s="467"/>
      <c r="B37" s="416"/>
      <c r="C37" s="408" t="s">
        <v>1573</v>
      </c>
      <c r="D37" s="408" t="s">
        <v>1574</v>
      </c>
      <c r="E37" s="408" t="s">
        <v>1575</v>
      </c>
      <c r="F37" s="398" t="s">
        <v>1462</v>
      </c>
      <c r="G37" s="404" t="s">
        <v>1572</v>
      </c>
      <c r="H37" s="411" t="s">
        <v>1464</v>
      </c>
    </row>
    <row r="38" spans="1:8" ht="16">
      <c r="A38" s="467"/>
      <c r="B38" s="416"/>
      <c r="C38" s="408" t="s">
        <v>1577</v>
      </c>
      <c r="D38" s="408" t="s">
        <v>1578</v>
      </c>
      <c r="E38" s="408" t="s">
        <v>1470</v>
      </c>
      <c r="F38" s="398" t="s">
        <v>1462</v>
      </c>
      <c r="G38" s="404" t="s">
        <v>1576</v>
      </c>
      <c r="H38" s="411" t="s">
        <v>1486</v>
      </c>
    </row>
    <row r="39" spans="1:8" ht="16">
      <c r="A39" s="467"/>
      <c r="B39" s="416"/>
      <c r="C39" s="408" t="s">
        <v>1580</v>
      </c>
      <c r="D39" s="408" t="s">
        <v>1581</v>
      </c>
      <c r="E39" s="408" t="s">
        <v>1470</v>
      </c>
      <c r="F39" s="398" t="s">
        <v>1462</v>
      </c>
      <c r="G39" s="404" t="s">
        <v>1579</v>
      </c>
      <c r="H39" s="411" t="s">
        <v>1464</v>
      </c>
    </row>
    <row r="40" spans="1:8" ht="16">
      <c r="A40" s="467"/>
      <c r="B40" s="416"/>
      <c r="C40" s="408" t="s">
        <v>1583</v>
      </c>
      <c r="D40" s="408" t="s">
        <v>1584</v>
      </c>
      <c r="E40" s="408" t="s">
        <v>1585</v>
      </c>
      <c r="F40" s="398" t="s">
        <v>1462</v>
      </c>
      <c r="G40" s="404" t="s">
        <v>1582</v>
      </c>
      <c r="H40" s="411" t="s">
        <v>1464</v>
      </c>
    </row>
    <row r="41" spans="1:8" ht="16">
      <c r="A41" s="467"/>
      <c r="B41" s="416"/>
      <c r="C41" s="408" t="s">
        <v>1587</v>
      </c>
      <c r="D41" s="408" t="s">
        <v>1588</v>
      </c>
      <c r="E41" s="408" t="s">
        <v>1589</v>
      </c>
      <c r="F41" s="398" t="s">
        <v>1462</v>
      </c>
      <c r="G41" s="404" t="s">
        <v>1586</v>
      </c>
      <c r="H41" s="411" t="s">
        <v>1464</v>
      </c>
    </row>
    <row r="42" spans="1:8" ht="16">
      <c r="A42" s="467"/>
      <c r="B42" s="416"/>
      <c r="C42" s="408" t="s">
        <v>1591</v>
      </c>
      <c r="D42" s="408" t="s">
        <v>1592</v>
      </c>
      <c r="E42" s="408" t="s">
        <v>1470</v>
      </c>
      <c r="F42" s="398" t="s">
        <v>1462</v>
      </c>
      <c r="G42" s="404" t="s">
        <v>1590</v>
      </c>
      <c r="H42" s="411" t="s">
        <v>1464</v>
      </c>
    </row>
    <row r="43" spans="1:8" ht="16">
      <c r="A43" s="467"/>
      <c r="B43" s="416"/>
      <c r="C43" s="408" t="s">
        <v>1595</v>
      </c>
      <c r="D43" s="408" t="s">
        <v>1596</v>
      </c>
      <c r="E43" s="408" t="s">
        <v>1470</v>
      </c>
      <c r="F43" s="398" t="s">
        <v>1593</v>
      </c>
      <c r="G43" s="404" t="s">
        <v>1594</v>
      </c>
      <c r="H43" s="411" t="s">
        <v>1486</v>
      </c>
    </row>
    <row r="44" spans="1:8" ht="16">
      <c r="A44" s="467"/>
      <c r="B44" s="416"/>
      <c r="C44" s="408" t="s">
        <v>1598</v>
      </c>
      <c r="D44" s="408" t="s">
        <v>1599</v>
      </c>
      <c r="E44" s="408" t="s">
        <v>1470</v>
      </c>
      <c r="F44" s="398" t="s">
        <v>1462</v>
      </c>
      <c r="G44" s="404" t="s">
        <v>1597</v>
      </c>
      <c r="H44" s="411" t="s">
        <v>1464</v>
      </c>
    </row>
    <row r="45" spans="1:8" ht="16">
      <c r="A45" s="467"/>
      <c r="B45" s="416"/>
      <c r="C45" s="408" t="s">
        <v>1601</v>
      </c>
      <c r="D45" s="408" t="s">
        <v>1602</v>
      </c>
      <c r="E45" s="408" t="s">
        <v>1470</v>
      </c>
      <c r="F45" s="398" t="s">
        <v>1462</v>
      </c>
      <c r="G45" s="404" t="s">
        <v>1600</v>
      </c>
      <c r="H45" s="411" t="s">
        <v>1464</v>
      </c>
    </row>
    <row r="46" spans="1:8" ht="16">
      <c r="A46" s="467"/>
      <c r="B46" s="416"/>
      <c r="C46" s="408" t="s">
        <v>1604</v>
      </c>
      <c r="D46" s="408" t="s">
        <v>1605</v>
      </c>
      <c r="E46" s="408" t="s">
        <v>1470</v>
      </c>
      <c r="F46" s="398" t="s">
        <v>1462</v>
      </c>
      <c r="G46" s="404" t="s">
        <v>1603</v>
      </c>
      <c r="H46" s="411" t="s">
        <v>1464</v>
      </c>
    </row>
    <row r="47" spans="1:8" ht="16">
      <c r="A47" s="467"/>
      <c r="B47" s="416"/>
      <c r="C47" s="408" t="s">
        <v>1607</v>
      </c>
      <c r="D47" s="408" t="s">
        <v>1608</v>
      </c>
      <c r="E47" s="408" t="s">
        <v>1470</v>
      </c>
      <c r="F47" s="398" t="s">
        <v>1462</v>
      </c>
      <c r="G47" s="404" t="s">
        <v>1606</v>
      </c>
      <c r="H47" s="411" t="s">
        <v>1486</v>
      </c>
    </row>
    <row r="48" spans="1:8" ht="16">
      <c r="A48" s="467"/>
      <c r="B48" s="416"/>
      <c r="C48" s="408" t="s">
        <v>1610</v>
      </c>
      <c r="D48" s="408" t="s">
        <v>1611</v>
      </c>
      <c r="E48" s="408" t="s">
        <v>1470</v>
      </c>
      <c r="F48" s="398" t="s">
        <v>1462</v>
      </c>
      <c r="G48" s="404" t="s">
        <v>1609</v>
      </c>
      <c r="H48" s="411" t="s">
        <v>1486</v>
      </c>
    </row>
    <row r="49" spans="1:8" ht="16">
      <c r="A49" s="467"/>
      <c r="B49" s="416"/>
      <c r="C49" s="408" t="s">
        <v>1613</v>
      </c>
      <c r="D49" s="408" t="s">
        <v>1614</v>
      </c>
      <c r="E49" s="408" t="s">
        <v>1470</v>
      </c>
      <c r="F49" s="398" t="s">
        <v>1462</v>
      </c>
      <c r="G49" s="404" t="s">
        <v>1612</v>
      </c>
      <c r="H49" s="411" t="s">
        <v>1464</v>
      </c>
    </row>
    <row r="50" spans="1:8" ht="16">
      <c r="A50" s="467"/>
      <c r="B50" s="416"/>
      <c r="C50" s="408" t="s">
        <v>1616</v>
      </c>
      <c r="D50" s="408" t="s">
        <v>1617</v>
      </c>
      <c r="E50" s="408" t="s">
        <v>1618</v>
      </c>
      <c r="F50" s="398" t="s">
        <v>1462</v>
      </c>
      <c r="G50" s="404" t="s">
        <v>1615</v>
      </c>
      <c r="H50" s="411" t="s">
        <v>1464</v>
      </c>
    </row>
    <row r="51" spans="1:8" ht="30">
      <c r="A51" s="467"/>
      <c r="B51" s="416"/>
      <c r="C51" s="408" t="s">
        <v>1620</v>
      </c>
      <c r="D51" s="412" t="s">
        <v>1621</v>
      </c>
      <c r="E51" s="464"/>
      <c r="F51" s="398" t="s">
        <v>1462</v>
      </c>
      <c r="G51" s="403" t="s">
        <v>1619</v>
      </c>
      <c r="H51" s="411" t="s">
        <v>1464</v>
      </c>
    </row>
    <row r="52" spans="1:8" ht="16">
      <c r="A52" s="467"/>
      <c r="B52" s="416"/>
      <c r="C52" s="408" t="s">
        <v>1623</v>
      </c>
      <c r="D52" s="408"/>
      <c r="E52" s="408"/>
      <c r="F52" s="398" t="s">
        <v>1462</v>
      </c>
      <c r="G52" s="404" t="s">
        <v>1622</v>
      </c>
      <c r="H52" s="411" t="s">
        <v>1464</v>
      </c>
    </row>
    <row r="53" spans="1:8" ht="16">
      <c r="A53" s="467"/>
      <c r="B53" s="416"/>
      <c r="C53" s="408" t="s">
        <v>1625</v>
      </c>
      <c r="D53" s="408" t="s">
        <v>1626</v>
      </c>
      <c r="E53" s="408" t="s">
        <v>1470</v>
      </c>
      <c r="F53" s="398" t="s">
        <v>1462</v>
      </c>
      <c r="G53" s="404" t="s">
        <v>1624</v>
      </c>
      <c r="H53" s="411" t="s">
        <v>1464</v>
      </c>
    </row>
    <row r="54" spans="1:8" ht="31.5" customHeight="1">
      <c r="A54" s="467"/>
      <c r="B54" s="416"/>
      <c r="C54" s="408" t="s">
        <v>1954</v>
      </c>
      <c r="D54" s="412" t="s">
        <v>1627</v>
      </c>
      <c r="E54" s="408" t="s">
        <v>1955</v>
      </c>
      <c r="F54" s="398" t="s">
        <v>1879</v>
      </c>
      <c r="G54" s="404" t="s">
        <v>1889</v>
      </c>
      <c r="H54" s="411" t="s">
        <v>1464</v>
      </c>
    </row>
    <row r="55" spans="1:8" ht="16">
      <c r="A55" s="467"/>
      <c r="B55" s="416"/>
      <c r="C55" s="408" t="s">
        <v>1629</v>
      </c>
      <c r="D55" s="408" t="s">
        <v>1630</v>
      </c>
      <c r="E55" s="408" t="s">
        <v>1631</v>
      </c>
      <c r="F55" s="398" t="s">
        <v>1462</v>
      </c>
      <c r="G55" s="404" t="s">
        <v>1628</v>
      </c>
      <c r="H55" s="411" t="s">
        <v>1464</v>
      </c>
    </row>
    <row r="56" spans="1:8" ht="16">
      <c r="A56" s="467"/>
      <c r="B56" s="416"/>
      <c r="C56" s="408" t="s">
        <v>1633</v>
      </c>
      <c r="D56" s="408" t="s">
        <v>1634</v>
      </c>
      <c r="E56" s="408" t="s">
        <v>1470</v>
      </c>
      <c r="F56" s="398" t="s">
        <v>1462</v>
      </c>
      <c r="G56" s="404" t="s">
        <v>1632</v>
      </c>
      <c r="H56" s="411" t="s">
        <v>1486</v>
      </c>
    </row>
    <row r="57" spans="1:8" ht="16">
      <c r="A57" s="467"/>
      <c r="B57" s="416"/>
      <c r="C57" s="408" t="s">
        <v>1636</v>
      </c>
      <c r="D57" s="408" t="s">
        <v>1637</v>
      </c>
      <c r="E57" s="408" t="s">
        <v>1470</v>
      </c>
      <c r="F57" s="398" t="s">
        <v>1462</v>
      </c>
      <c r="G57" s="404" t="s">
        <v>1635</v>
      </c>
      <c r="H57" s="411" t="s">
        <v>1464</v>
      </c>
    </row>
    <row r="58" spans="1:8" ht="16">
      <c r="A58" s="467"/>
      <c r="B58" s="416"/>
      <c r="C58" s="408" t="s">
        <v>1639</v>
      </c>
      <c r="D58" s="408" t="s">
        <v>1640</v>
      </c>
      <c r="E58" s="408" t="s">
        <v>1470</v>
      </c>
      <c r="F58" s="398" t="s">
        <v>1462</v>
      </c>
      <c r="G58" s="404" t="s">
        <v>1638</v>
      </c>
      <c r="H58" s="411" t="s">
        <v>1464</v>
      </c>
    </row>
    <row r="59" spans="1:8" ht="16">
      <c r="A59" s="467"/>
      <c r="B59" s="416"/>
      <c r="C59" s="408" t="s">
        <v>1642</v>
      </c>
      <c r="D59" s="408" t="s">
        <v>1643</v>
      </c>
      <c r="E59" s="408" t="s">
        <v>1644</v>
      </c>
      <c r="F59" s="398" t="s">
        <v>1462</v>
      </c>
      <c r="G59" s="404" t="s">
        <v>1641</v>
      </c>
      <c r="H59" s="411" t="s">
        <v>1464</v>
      </c>
    </row>
    <row r="60" spans="1:8" ht="16">
      <c r="A60" s="467"/>
      <c r="B60" s="416"/>
      <c r="C60" s="412" t="s">
        <v>1646</v>
      </c>
      <c r="D60" s="414" t="s">
        <v>1647</v>
      </c>
      <c r="E60" s="465" t="s">
        <v>1648</v>
      </c>
      <c r="F60" s="398" t="s">
        <v>1462</v>
      </c>
      <c r="G60" s="407" t="s">
        <v>1645</v>
      </c>
      <c r="H60" s="411" t="s">
        <v>1464</v>
      </c>
    </row>
    <row r="61" spans="1:8" ht="16">
      <c r="A61" s="467"/>
      <c r="B61" s="416"/>
      <c r="C61" s="408" t="s">
        <v>1650</v>
      </c>
      <c r="D61" s="408" t="s">
        <v>1651</v>
      </c>
      <c r="E61" s="408" t="s">
        <v>1652</v>
      </c>
      <c r="F61" s="398" t="s">
        <v>1462</v>
      </c>
      <c r="G61" s="404" t="s">
        <v>1649</v>
      </c>
      <c r="H61" s="411" t="s">
        <v>1464</v>
      </c>
    </row>
    <row r="62" spans="1:8" ht="16">
      <c r="A62" s="467"/>
      <c r="B62" s="416"/>
      <c r="C62" s="408" t="s">
        <v>1654</v>
      </c>
      <c r="D62" s="408" t="s">
        <v>1655</v>
      </c>
      <c r="E62" s="408" t="s">
        <v>1470</v>
      </c>
      <c r="F62" s="398" t="s">
        <v>1462</v>
      </c>
      <c r="G62" s="404" t="s">
        <v>1653</v>
      </c>
      <c r="H62" s="411" t="s">
        <v>1464</v>
      </c>
    </row>
    <row r="63" spans="1:8" ht="16">
      <c r="A63" s="467"/>
      <c r="B63" s="416"/>
      <c r="C63" s="408" t="s">
        <v>1657</v>
      </c>
      <c r="D63" s="408" t="s">
        <v>1658</v>
      </c>
      <c r="E63" s="408" t="s">
        <v>1470</v>
      </c>
      <c r="F63" s="398" t="s">
        <v>1462</v>
      </c>
      <c r="G63" s="405" t="s">
        <v>1656</v>
      </c>
      <c r="H63" s="411" t="s">
        <v>1464</v>
      </c>
    </row>
    <row r="64" spans="1:8" ht="16">
      <c r="A64" s="467"/>
      <c r="B64" s="416"/>
      <c r="C64" s="408" t="s">
        <v>1660</v>
      </c>
      <c r="D64" s="408" t="s">
        <v>1661</v>
      </c>
      <c r="E64" s="408" t="s">
        <v>1470</v>
      </c>
      <c r="F64" s="398" t="s">
        <v>1462</v>
      </c>
      <c r="G64" s="404" t="s">
        <v>1659</v>
      </c>
      <c r="H64" s="411" t="s">
        <v>1486</v>
      </c>
    </row>
    <row r="65" spans="1:8" ht="16">
      <c r="A65" s="467"/>
      <c r="B65" s="416"/>
      <c r="C65" s="408" t="s">
        <v>1663</v>
      </c>
      <c r="D65" s="408" t="s">
        <v>1664</v>
      </c>
      <c r="E65" s="408" t="s">
        <v>1665</v>
      </c>
      <c r="F65" s="398" t="s">
        <v>1462</v>
      </c>
      <c r="G65" s="404" t="s">
        <v>1662</v>
      </c>
      <c r="H65" s="411" t="s">
        <v>1486</v>
      </c>
    </row>
    <row r="66" spans="1:8" ht="16">
      <c r="A66" s="467"/>
      <c r="B66" s="416"/>
      <c r="C66" s="408" t="s">
        <v>1667</v>
      </c>
      <c r="D66" s="408" t="s">
        <v>1668</v>
      </c>
      <c r="E66" s="408" t="s">
        <v>1470</v>
      </c>
      <c r="F66" s="398" t="s">
        <v>1462</v>
      </c>
      <c r="G66" s="404" t="s">
        <v>1666</v>
      </c>
      <c r="H66" s="411" t="s">
        <v>1464</v>
      </c>
    </row>
    <row r="67" spans="1:8" ht="16">
      <c r="A67" s="467"/>
      <c r="B67" s="416"/>
      <c r="C67" s="408" t="s">
        <v>1670</v>
      </c>
      <c r="D67" s="408" t="s">
        <v>1671</v>
      </c>
      <c r="E67" s="408" t="s">
        <v>1672</v>
      </c>
      <c r="F67" s="398" t="s">
        <v>1462</v>
      </c>
      <c r="G67" s="404" t="s">
        <v>1669</v>
      </c>
      <c r="H67" s="411" t="s">
        <v>1464</v>
      </c>
    </row>
    <row r="68" spans="1:8" ht="16">
      <c r="A68" s="467"/>
      <c r="B68" s="416"/>
      <c r="C68" s="408" t="s">
        <v>1674</v>
      </c>
      <c r="D68" s="408" t="s">
        <v>1675</v>
      </c>
      <c r="E68" s="408" t="s">
        <v>1470</v>
      </c>
      <c r="F68" s="398" t="s">
        <v>1462</v>
      </c>
      <c r="G68" s="404" t="s">
        <v>1673</v>
      </c>
      <c r="H68" s="411" t="s">
        <v>1464</v>
      </c>
    </row>
    <row r="69" spans="1:8" ht="16">
      <c r="A69" s="467"/>
      <c r="B69" s="416"/>
      <c r="C69" s="408" t="s">
        <v>1677</v>
      </c>
      <c r="D69" s="408" t="s">
        <v>1678</v>
      </c>
      <c r="E69" s="408" t="s">
        <v>1679</v>
      </c>
      <c r="F69" s="398" t="s">
        <v>1462</v>
      </c>
      <c r="G69" s="404" t="s">
        <v>1676</v>
      </c>
      <c r="H69" s="411" t="s">
        <v>1464</v>
      </c>
    </row>
    <row r="70" spans="1:8" ht="16">
      <c r="A70" s="467"/>
      <c r="B70" s="416"/>
      <c r="C70" s="408" t="s">
        <v>1681</v>
      </c>
      <c r="D70" s="408" t="s">
        <v>1682</v>
      </c>
      <c r="E70" s="408" t="s">
        <v>1470</v>
      </c>
      <c r="F70" s="398" t="s">
        <v>1462</v>
      </c>
      <c r="G70" s="404" t="s">
        <v>1680</v>
      </c>
      <c r="H70" s="411" t="s">
        <v>1464</v>
      </c>
    </row>
    <row r="71" spans="1:8" ht="16">
      <c r="A71" s="467"/>
      <c r="B71" s="416"/>
      <c r="C71" s="408" t="s">
        <v>1684</v>
      </c>
      <c r="D71" s="408" t="s">
        <v>1685</v>
      </c>
      <c r="E71" s="408" t="s">
        <v>1470</v>
      </c>
      <c r="F71" s="398" t="s">
        <v>1462</v>
      </c>
      <c r="G71" s="404" t="s">
        <v>1683</v>
      </c>
      <c r="H71" s="411" t="s">
        <v>1464</v>
      </c>
    </row>
    <row r="72" spans="1:8" ht="16">
      <c r="A72" s="467"/>
      <c r="B72" s="416"/>
      <c r="C72" s="408" t="s">
        <v>1967</v>
      </c>
      <c r="D72" s="408" t="s">
        <v>1687</v>
      </c>
      <c r="E72" s="408" t="s">
        <v>1470</v>
      </c>
      <c r="F72" s="398" t="s">
        <v>1462</v>
      </c>
      <c r="G72" s="404" t="s">
        <v>1686</v>
      </c>
      <c r="H72" s="411" t="s">
        <v>1464</v>
      </c>
    </row>
    <row r="73" spans="1:8" ht="16">
      <c r="A73" s="467"/>
      <c r="B73" s="416"/>
      <c r="C73" s="408" t="s">
        <v>1689</v>
      </c>
      <c r="D73" s="408" t="s">
        <v>1690</v>
      </c>
      <c r="E73" s="466"/>
      <c r="F73" s="398" t="s">
        <v>1462</v>
      </c>
      <c r="G73" s="406" t="s">
        <v>1688</v>
      </c>
      <c r="H73" s="411" t="s">
        <v>1464</v>
      </c>
    </row>
    <row r="74" spans="1:8" ht="16">
      <c r="A74" s="467"/>
      <c r="B74" s="416"/>
      <c r="C74" s="408" t="s">
        <v>1692</v>
      </c>
      <c r="D74" s="408" t="s">
        <v>1693</v>
      </c>
      <c r="E74" s="408" t="s">
        <v>1470</v>
      </c>
      <c r="F74" s="398" t="s">
        <v>1462</v>
      </c>
      <c r="G74" s="404" t="s">
        <v>1691</v>
      </c>
      <c r="H74" s="411" t="s">
        <v>1464</v>
      </c>
    </row>
    <row r="75" spans="1:8" ht="16">
      <c r="A75" s="467"/>
      <c r="B75" s="416"/>
      <c r="C75" s="408" t="s">
        <v>1695</v>
      </c>
      <c r="D75" s="408" t="s">
        <v>1696</v>
      </c>
      <c r="E75" s="464"/>
      <c r="F75" s="398" t="s">
        <v>1462</v>
      </c>
      <c r="G75" s="405" t="s">
        <v>1694</v>
      </c>
      <c r="H75" s="411" t="s">
        <v>1486</v>
      </c>
    </row>
    <row r="76" spans="1:8" ht="16">
      <c r="A76" s="467"/>
      <c r="B76" s="416"/>
      <c r="C76" s="408" t="s">
        <v>1698</v>
      </c>
      <c r="D76" s="408" t="s">
        <v>1699</v>
      </c>
      <c r="E76" s="408" t="s">
        <v>1470</v>
      </c>
      <c r="F76" s="398" t="s">
        <v>1462</v>
      </c>
      <c r="G76" s="404" t="s">
        <v>1697</v>
      </c>
      <c r="H76" s="411" t="s">
        <v>1464</v>
      </c>
    </row>
    <row r="77" spans="1:8" ht="16">
      <c r="A77" s="467"/>
      <c r="B77" s="416"/>
      <c r="C77" s="408" t="s">
        <v>1701</v>
      </c>
      <c r="D77" s="408" t="s">
        <v>1702</v>
      </c>
      <c r="E77" s="408" t="s">
        <v>1470</v>
      </c>
      <c r="F77" s="398" t="s">
        <v>1462</v>
      </c>
      <c r="G77" s="404" t="s">
        <v>1700</v>
      </c>
      <c r="H77" s="411" t="s">
        <v>1464</v>
      </c>
    </row>
    <row r="78" spans="1:8" ht="16">
      <c r="A78" s="467"/>
      <c r="B78" s="416"/>
      <c r="C78" s="408" t="s">
        <v>1704</v>
      </c>
      <c r="D78" s="408"/>
      <c r="E78" s="408" t="s">
        <v>1470</v>
      </c>
      <c r="F78" s="398" t="s">
        <v>1462</v>
      </c>
      <c r="G78" s="404" t="s">
        <v>1703</v>
      </c>
      <c r="H78" s="411" t="s">
        <v>1464</v>
      </c>
    </row>
    <row r="79" spans="1:8" ht="16">
      <c r="A79" s="467"/>
      <c r="B79" s="416"/>
      <c r="C79" s="408" t="s">
        <v>1706</v>
      </c>
      <c r="D79" s="408" t="s">
        <v>1707</v>
      </c>
      <c r="E79" s="408" t="s">
        <v>1470</v>
      </c>
      <c r="F79" s="398" t="s">
        <v>1462</v>
      </c>
      <c r="G79" s="404" t="s">
        <v>1705</v>
      </c>
      <c r="H79" s="411" t="s">
        <v>1464</v>
      </c>
    </row>
    <row r="80" spans="1:8" ht="16">
      <c r="A80" s="467"/>
      <c r="B80" s="416"/>
      <c r="C80" s="408" t="s">
        <v>1709</v>
      </c>
      <c r="D80" s="408" t="s">
        <v>1710</v>
      </c>
      <c r="E80" s="408" t="s">
        <v>1470</v>
      </c>
      <c r="F80" s="398" t="s">
        <v>1462</v>
      </c>
      <c r="G80" s="404" t="s">
        <v>1708</v>
      </c>
      <c r="H80" s="411" t="s">
        <v>1464</v>
      </c>
    </row>
    <row r="81" spans="1:8" ht="16">
      <c r="A81" s="467"/>
      <c r="B81" s="416"/>
      <c r="C81" s="408" t="s">
        <v>1712</v>
      </c>
      <c r="D81" s="408" t="s">
        <v>1713</v>
      </c>
      <c r="E81" s="408" t="s">
        <v>1470</v>
      </c>
      <c r="F81" s="398" t="s">
        <v>1462</v>
      </c>
      <c r="G81" s="404" t="s">
        <v>1711</v>
      </c>
      <c r="H81" s="411" t="s">
        <v>1464</v>
      </c>
    </row>
    <row r="82" spans="1:8" ht="16">
      <c r="A82" s="467"/>
      <c r="B82" s="416"/>
      <c r="C82" s="408" t="s">
        <v>1715</v>
      </c>
      <c r="D82" s="408" t="s">
        <v>1716</v>
      </c>
      <c r="E82" s="465" t="s">
        <v>1717</v>
      </c>
      <c r="F82" s="398" t="s">
        <v>1462</v>
      </c>
      <c r="G82" s="407" t="s">
        <v>1714</v>
      </c>
      <c r="H82" s="411" t="s">
        <v>1464</v>
      </c>
    </row>
    <row r="83" spans="1:8" ht="16">
      <c r="A83" s="467"/>
      <c r="B83" s="416"/>
      <c r="C83" s="408" t="s">
        <v>1719</v>
      </c>
      <c r="D83" s="408" t="s">
        <v>1720</v>
      </c>
      <c r="E83" s="408" t="s">
        <v>1470</v>
      </c>
      <c r="F83" s="398" t="s">
        <v>1462</v>
      </c>
      <c r="G83" s="404" t="s">
        <v>1718</v>
      </c>
      <c r="H83" s="411" t="s">
        <v>1464</v>
      </c>
    </row>
    <row r="84" spans="1:8" ht="16">
      <c r="A84" s="467"/>
      <c r="B84" s="416"/>
      <c r="C84" s="408" t="s">
        <v>1722</v>
      </c>
      <c r="D84" s="408" t="s">
        <v>1723</v>
      </c>
      <c r="E84" s="408" t="s">
        <v>1470</v>
      </c>
      <c r="F84" s="398" t="s">
        <v>1462</v>
      </c>
      <c r="G84" s="404" t="s">
        <v>1721</v>
      </c>
      <c r="H84" s="411" t="s">
        <v>1464</v>
      </c>
    </row>
    <row r="85" spans="1:8" ht="16">
      <c r="A85" s="467"/>
      <c r="B85" s="416"/>
      <c r="C85" s="408" t="s">
        <v>1725</v>
      </c>
      <c r="D85" s="408" t="s">
        <v>1726</v>
      </c>
      <c r="E85" s="466"/>
      <c r="F85" s="398" t="s">
        <v>1462</v>
      </c>
      <c r="G85" s="407" t="s">
        <v>1724</v>
      </c>
      <c r="H85" s="411" t="s">
        <v>1486</v>
      </c>
    </row>
    <row r="86" spans="1:8" ht="16">
      <c r="A86" s="467"/>
      <c r="B86" s="416"/>
      <c r="C86" s="408" t="s">
        <v>1729</v>
      </c>
      <c r="D86" s="408" t="s">
        <v>1730</v>
      </c>
      <c r="E86" s="408" t="s">
        <v>1470</v>
      </c>
      <c r="F86" s="398" t="s">
        <v>1462</v>
      </c>
      <c r="G86" s="404" t="s">
        <v>1727</v>
      </c>
      <c r="H86" s="411" t="s">
        <v>1728</v>
      </c>
    </row>
    <row r="87" spans="1:8" ht="16">
      <c r="A87" s="467"/>
      <c r="B87" s="416"/>
      <c r="C87" s="408" t="s">
        <v>1732</v>
      </c>
      <c r="D87" s="408" t="s">
        <v>1733</v>
      </c>
      <c r="E87" s="408" t="s">
        <v>1470</v>
      </c>
      <c r="F87" s="398" t="s">
        <v>1462</v>
      </c>
      <c r="G87" s="404" t="s">
        <v>1731</v>
      </c>
      <c r="H87" s="411" t="s">
        <v>1464</v>
      </c>
    </row>
    <row r="88" spans="1:8" ht="30">
      <c r="A88" s="467"/>
      <c r="B88" s="416"/>
      <c r="C88" s="408" t="s">
        <v>1735</v>
      </c>
      <c r="D88" s="412" t="s">
        <v>1736</v>
      </c>
      <c r="E88" s="408" t="s">
        <v>1470</v>
      </c>
      <c r="F88" s="398" t="s">
        <v>1462</v>
      </c>
      <c r="G88" s="404" t="s">
        <v>1734</v>
      </c>
      <c r="H88" s="411" t="s">
        <v>1486</v>
      </c>
    </row>
    <row r="89" spans="1:8" ht="16">
      <c r="A89" s="467"/>
      <c r="B89" s="416"/>
      <c r="C89" s="408" t="s">
        <v>1738</v>
      </c>
      <c r="D89" s="408" t="s">
        <v>1739</v>
      </c>
      <c r="E89" s="408" t="s">
        <v>1470</v>
      </c>
      <c r="F89" s="398" t="s">
        <v>1462</v>
      </c>
      <c r="G89" s="404" t="s">
        <v>1737</v>
      </c>
      <c r="H89" s="411" t="s">
        <v>1464</v>
      </c>
    </row>
    <row r="90" spans="1:8" ht="16">
      <c r="A90" s="467"/>
      <c r="B90" s="416"/>
      <c r="C90" s="408" t="s">
        <v>1741</v>
      </c>
      <c r="D90" s="408" t="s">
        <v>1742</v>
      </c>
      <c r="E90" s="408" t="s">
        <v>1470</v>
      </c>
      <c r="F90" s="398" t="s">
        <v>1462</v>
      </c>
      <c r="G90" s="404" t="s">
        <v>1740</v>
      </c>
      <c r="H90" s="411" t="s">
        <v>1464</v>
      </c>
    </row>
    <row r="91" spans="1:8" ht="16">
      <c r="A91" s="467"/>
      <c r="B91" s="416"/>
      <c r="C91" s="408" t="s">
        <v>1744</v>
      </c>
      <c r="D91" s="408" t="s">
        <v>1745</v>
      </c>
      <c r="E91" s="408" t="s">
        <v>1470</v>
      </c>
      <c r="F91" s="398" t="s">
        <v>1593</v>
      </c>
      <c r="G91" s="404" t="s">
        <v>1743</v>
      </c>
      <c r="H91" s="411" t="s">
        <v>1464</v>
      </c>
    </row>
    <row r="92" spans="1:8" ht="16">
      <c r="A92" s="467"/>
      <c r="B92" s="416"/>
      <c r="C92" s="408" t="s">
        <v>1747</v>
      </c>
      <c r="D92" s="408" t="s">
        <v>1748</v>
      </c>
      <c r="E92" s="408" t="s">
        <v>1470</v>
      </c>
      <c r="F92" s="398" t="s">
        <v>1593</v>
      </c>
      <c r="G92" s="404" t="s">
        <v>1746</v>
      </c>
      <c r="H92" s="411" t="s">
        <v>1464</v>
      </c>
    </row>
    <row r="93" spans="1:8" ht="16">
      <c r="A93" s="467"/>
      <c r="B93" s="416"/>
      <c r="C93" s="408" t="s">
        <v>1750</v>
      </c>
      <c r="D93" s="408" t="s">
        <v>1751</v>
      </c>
      <c r="E93" s="408" t="s">
        <v>1470</v>
      </c>
      <c r="F93" s="398" t="s">
        <v>1593</v>
      </c>
      <c r="G93" s="404" t="s">
        <v>1749</v>
      </c>
      <c r="H93" s="411" t="s">
        <v>1464</v>
      </c>
    </row>
    <row r="94" spans="1:8" ht="16">
      <c r="A94" s="467"/>
      <c r="B94" s="416"/>
      <c r="C94" s="408" t="s">
        <v>1753</v>
      </c>
      <c r="D94" s="408" t="s">
        <v>1754</v>
      </c>
      <c r="E94" s="408" t="s">
        <v>1755</v>
      </c>
      <c r="F94" s="398" t="s">
        <v>1593</v>
      </c>
      <c r="G94" s="404" t="s">
        <v>1752</v>
      </c>
      <c r="H94" s="411" t="s">
        <v>1464</v>
      </c>
    </row>
    <row r="95" spans="1:8" ht="16">
      <c r="A95" s="467"/>
      <c r="B95" s="416"/>
      <c r="C95" s="408" t="s">
        <v>1757</v>
      </c>
      <c r="D95" s="408" t="s">
        <v>1758</v>
      </c>
      <c r="E95" s="408" t="s">
        <v>1470</v>
      </c>
      <c r="F95" s="398" t="s">
        <v>1593</v>
      </c>
      <c r="G95" s="404" t="s">
        <v>1756</v>
      </c>
      <c r="H95" s="411" t="s">
        <v>1464</v>
      </c>
    </row>
    <row r="96" spans="1:8" ht="16">
      <c r="A96" s="467"/>
      <c r="B96" s="416"/>
      <c r="C96" s="408" t="s">
        <v>1760</v>
      </c>
      <c r="D96" s="408" t="s">
        <v>1761</v>
      </c>
      <c r="E96" s="408" t="s">
        <v>1470</v>
      </c>
      <c r="F96" s="398" t="s">
        <v>1593</v>
      </c>
      <c r="G96" s="404" t="s">
        <v>1759</v>
      </c>
      <c r="H96" s="411" t="s">
        <v>1464</v>
      </c>
    </row>
    <row r="97" spans="1:8" ht="16">
      <c r="A97" s="467"/>
      <c r="B97" s="416"/>
      <c r="C97" s="408" t="s">
        <v>1763</v>
      </c>
      <c r="D97" s="408" t="s">
        <v>1764</v>
      </c>
      <c r="E97" s="408" t="s">
        <v>1470</v>
      </c>
      <c r="F97" s="398" t="s">
        <v>1593</v>
      </c>
      <c r="G97" s="404" t="s">
        <v>1762</v>
      </c>
      <c r="H97" s="411" t="s">
        <v>1464</v>
      </c>
    </row>
    <row r="98" spans="1:8" ht="16">
      <c r="A98" s="467"/>
      <c r="B98" s="416"/>
      <c r="C98" s="408" t="s">
        <v>1766</v>
      </c>
      <c r="D98" s="408" t="s">
        <v>1767</v>
      </c>
      <c r="E98" s="408" t="s">
        <v>1470</v>
      </c>
      <c r="F98" s="398" t="s">
        <v>1593</v>
      </c>
      <c r="G98" s="404" t="s">
        <v>1765</v>
      </c>
      <c r="H98" s="411" t="s">
        <v>1464</v>
      </c>
    </row>
    <row r="99" spans="1:8" ht="16">
      <c r="A99" s="467"/>
      <c r="B99" s="416"/>
      <c r="C99" s="408" t="s">
        <v>1769</v>
      </c>
      <c r="D99" s="408" t="s">
        <v>1770</v>
      </c>
      <c r="E99" s="408" t="s">
        <v>1470</v>
      </c>
      <c r="F99" s="398" t="s">
        <v>1593</v>
      </c>
      <c r="G99" s="404" t="s">
        <v>1768</v>
      </c>
      <c r="H99" s="411" t="s">
        <v>1464</v>
      </c>
    </row>
    <row r="100" spans="1:8" ht="16">
      <c r="A100" s="467"/>
      <c r="B100" s="416"/>
      <c r="C100" s="408" t="s">
        <v>1772</v>
      </c>
      <c r="D100" s="408" t="s">
        <v>1773</v>
      </c>
      <c r="E100" s="408" t="s">
        <v>1470</v>
      </c>
      <c r="F100" s="398" t="s">
        <v>1593</v>
      </c>
      <c r="G100" s="404" t="s">
        <v>1771</v>
      </c>
      <c r="H100" s="411" t="s">
        <v>1464</v>
      </c>
    </row>
    <row r="101" spans="1:8" ht="16">
      <c r="A101" s="467"/>
      <c r="B101" s="416"/>
      <c r="C101" s="408" t="s">
        <v>1775</v>
      </c>
      <c r="D101" s="408" t="s">
        <v>1776</v>
      </c>
      <c r="E101" s="408" t="s">
        <v>1470</v>
      </c>
      <c r="F101" s="398" t="s">
        <v>1593</v>
      </c>
      <c r="G101" s="404" t="s">
        <v>1774</v>
      </c>
      <c r="H101" s="411" t="s">
        <v>1464</v>
      </c>
    </row>
    <row r="102" spans="1:8" ht="16">
      <c r="A102" s="467"/>
      <c r="B102" s="416"/>
      <c r="C102" s="408" t="s">
        <v>1778</v>
      </c>
      <c r="D102" s="408" t="s">
        <v>1779</v>
      </c>
      <c r="E102" s="408" t="s">
        <v>1470</v>
      </c>
      <c r="F102" s="398" t="s">
        <v>1593</v>
      </c>
      <c r="G102" s="404" t="s">
        <v>1777</v>
      </c>
      <c r="H102" s="411" t="s">
        <v>1464</v>
      </c>
    </row>
    <row r="103" spans="1:8" ht="16">
      <c r="A103" s="467"/>
      <c r="B103" s="416"/>
      <c r="C103" s="408" t="s">
        <v>1781</v>
      </c>
      <c r="D103" s="408" t="s">
        <v>1782</v>
      </c>
      <c r="E103" s="408" t="s">
        <v>1470</v>
      </c>
      <c r="F103" s="398" t="s">
        <v>1593</v>
      </c>
      <c r="G103" s="404" t="s">
        <v>1780</v>
      </c>
      <c r="H103" s="411" t="s">
        <v>1464</v>
      </c>
    </row>
    <row r="104" spans="1:8" ht="16">
      <c r="A104" s="467"/>
      <c r="B104" s="416"/>
      <c r="C104" s="408" t="s">
        <v>1784</v>
      </c>
      <c r="D104" s="408" t="s">
        <v>1785</v>
      </c>
      <c r="E104" s="408" t="s">
        <v>1470</v>
      </c>
      <c r="F104" s="398" t="s">
        <v>1593</v>
      </c>
      <c r="G104" s="404" t="s">
        <v>1783</v>
      </c>
      <c r="H104" s="411" t="s">
        <v>1464</v>
      </c>
    </row>
    <row r="105" spans="1:8" ht="16">
      <c r="A105" s="467"/>
      <c r="B105" s="416"/>
      <c r="C105" s="408" t="s">
        <v>1787</v>
      </c>
      <c r="D105" s="408" t="s">
        <v>1788</v>
      </c>
      <c r="E105" s="408" t="s">
        <v>1789</v>
      </c>
      <c r="F105" s="398" t="s">
        <v>1593</v>
      </c>
      <c r="G105" s="404" t="s">
        <v>1786</v>
      </c>
      <c r="H105" s="411" t="s">
        <v>1464</v>
      </c>
    </row>
    <row r="106" spans="1:8" ht="16">
      <c r="A106" s="467"/>
      <c r="B106" s="416"/>
      <c r="C106" s="408" t="s">
        <v>1791</v>
      </c>
      <c r="D106" s="408" t="s">
        <v>1792</v>
      </c>
      <c r="E106" s="408" t="s">
        <v>1470</v>
      </c>
      <c r="F106" s="398" t="s">
        <v>1593</v>
      </c>
      <c r="G106" s="404" t="s">
        <v>1790</v>
      </c>
      <c r="H106" s="411" t="s">
        <v>1486</v>
      </c>
    </row>
    <row r="107" spans="1:8" ht="16">
      <c r="A107" s="467"/>
      <c r="B107" s="416"/>
      <c r="C107" s="408" t="s">
        <v>1794</v>
      </c>
      <c r="D107" s="408" t="s">
        <v>1795</v>
      </c>
      <c r="E107" s="408" t="s">
        <v>1796</v>
      </c>
      <c r="F107" s="398" t="s">
        <v>1593</v>
      </c>
      <c r="G107" s="404" t="s">
        <v>1793</v>
      </c>
      <c r="H107" s="411" t="s">
        <v>1464</v>
      </c>
    </row>
    <row r="108" spans="1:8" ht="16">
      <c r="A108" s="467"/>
      <c r="B108" s="416"/>
      <c r="C108" s="408" t="s">
        <v>1798</v>
      </c>
      <c r="D108" s="408" t="s">
        <v>1799</v>
      </c>
      <c r="E108" s="408" t="s">
        <v>1800</v>
      </c>
      <c r="F108" s="398" t="s">
        <v>1593</v>
      </c>
      <c r="G108" s="404" t="s">
        <v>1797</v>
      </c>
      <c r="H108" s="411" t="s">
        <v>1464</v>
      </c>
    </row>
    <row r="109" spans="1:8" ht="16">
      <c r="A109" s="467"/>
      <c r="B109" s="416"/>
      <c r="C109" s="408" t="s">
        <v>1802</v>
      </c>
      <c r="D109" s="408" t="s">
        <v>1803</v>
      </c>
      <c r="E109" s="408" t="s">
        <v>1804</v>
      </c>
      <c r="F109" s="398" t="s">
        <v>1593</v>
      </c>
      <c r="G109" s="404" t="s">
        <v>1801</v>
      </c>
      <c r="H109" s="411" t="s">
        <v>1464</v>
      </c>
    </row>
    <row r="110" spans="1:8" ht="16">
      <c r="A110" s="467"/>
      <c r="B110" s="416"/>
      <c r="C110" s="408" t="s">
        <v>1806</v>
      </c>
      <c r="D110" s="408"/>
      <c r="E110" s="408"/>
      <c r="F110" s="398" t="s">
        <v>1593</v>
      </c>
      <c r="G110" s="404" t="s">
        <v>1805</v>
      </c>
      <c r="H110" s="411" t="s">
        <v>1464</v>
      </c>
    </row>
    <row r="111" spans="1:8" ht="16">
      <c r="A111" s="467"/>
      <c r="B111" s="416"/>
      <c r="C111" s="408" t="s">
        <v>1808</v>
      </c>
      <c r="D111" s="408"/>
      <c r="E111" s="408"/>
      <c r="F111" s="398" t="s">
        <v>1593</v>
      </c>
      <c r="G111" s="404" t="s">
        <v>1807</v>
      </c>
      <c r="H111" s="411" t="s">
        <v>1464</v>
      </c>
    </row>
    <row r="112" spans="1:8" ht="16">
      <c r="A112" s="467"/>
      <c r="B112" s="416"/>
      <c r="C112" s="408" t="s">
        <v>1810</v>
      </c>
      <c r="D112" s="408"/>
      <c r="E112" s="408"/>
      <c r="F112" s="398" t="s">
        <v>1593</v>
      </c>
      <c r="G112" s="404" t="s">
        <v>1809</v>
      </c>
      <c r="H112" s="411" t="s">
        <v>1464</v>
      </c>
    </row>
    <row r="113" spans="1:8" ht="16">
      <c r="A113" s="467"/>
      <c r="B113" s="416"/>
      <c r="C113" s="408" t="s">
        <v>1812</v>
      </c>
      <c r="D113" s="408"/>
      <c r="E113" s="408"/>
      <c r="F113" s="398" t="s">
        <v>1593</v>
      </c>
      <c r="G113" s="404" t="s">
        <v>1811</v>
      </c>
      <c r="H113" s="411" t="s">
        <v>1464</v>
      </c>
    </row>
    <row r="114" spans="1:8" ht="16">
      <c r="A114" s="467"/>
      <c r="B114" s="416"/>
      <c r="C114" s="408" t="s">
        <v>1814</v>
      </c>
      <c r="D114" s="408"/>
      <c r="E114" s="408"/>
      <c r="F114" s="398" t="s">
        <v>1593</v>
      </c>
      <c r="G114" s="404" t="s">
        <v>1813</v>
      </c>
      <c r="H114" s="411" t="s">
        <v>1486</v>
      </c>
    </row>
    <row r="115" spans="1:8" ht="16">
      <c r="A115" s="467"/>
      <c r="B115" s="416"/>
      <c r="C115" s="408" t="s">
        <v>1816</v>
      </c>
      <c r="D115" s="408"/>
      <c r="E115" s="408"/>
      <c r="F115" s="398" t="s">
        <v>1593</v>
      </c>
      <c r="G115" s="404" t="s">
        <v>1815</v>
      </c>
      <c r="H115" s="411" t="s">
        <v>1486</v>
      </c>
    </row>
    <row r="116" spans="1:8" ht="16">
      <c r="A116" s="467"/>
      <c r="B116" s="416"/>
      <c r="C116" s="408" t="s">
        <v>1818</v>
      </c>
      <c r="D116" s="408"/>
      <c r="E116" s="408"/>
      <c r="F116" s="398" t="s">
        <v>1593</v>
      </c>
      <c r="G116" s="404" t="s">
        <v>1817</v>
      </c>
      <c r="H116" s="411" t="s">
        <v>1486</v>
      </c>
    </row>
    <row r="117" spans="1:8" ht="16" hidden="1">
      <c r="A117" s="467"/>
      <c r="B117" s="416"/>
      <c r="C117" s="408" t="s">
        <v>1819</v>
      </c>
      <c r="D117" s="410"/>
      <c r="E117" s="410"/>
      <c r="F117" s="398" t="s">
        <v>1593</v>
      </c>
      <c r="G117" s="409">
        <v>99999999</v>
      </c>
      <c r="H117" s="411" t="s">
        <v>1464</v>
      </c>
    </row>
  </sheetData>
  <sheetProtection password="842B" sheet="1" objects="1" scenarios="1" selectLockedCells="1" selectUnlockedCells="1"/>
  <phoneticPr fontId="3"/>
  <conditionalFormatting sqref="D4">
    <cfRule type="expression" dxfId="276" priority="1">
      <formula>AND($H$5=1,$H$4&gt;0)</formula>
    </cfRule>
  </conditionalFormatting>
  <pageMargins left="1.1023622047244095" right="0.70866141732283472" top="0.35433070866141736" bottom="0" header="0.31496062992125984" footer="0.31496062992125984"/>
  <pageSetup paperSize="9" scale="3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xdr:col>
                    <xdr:colOff>438150</xdr:colOff>
                    <xdr:row>6</xdr:row>
                    <xdr:rowOff>12700</xdr:rowOff>
                  </from>
                  <to>
                    <xdr:col>1</xdr:col>
                    <xdr:colOff>914400</xdr:colOff>
                    <xdr:row>6</xdr:row>
                    <xdr:rowOff>203200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1</xdr:col>
                    <xdr:colOff>438150</xdr:colOff>
                    <xdr:row>7</xdr:row>
                    <xdr:rowOff>12700</xdr:rowOff>
                  </from>
                  <to>
                    <xdr:col>1</xdr:col>
                    <xdr:colOff>914400</xdr:colOff>
                    <xdr:row>7</xdr:row>
                    <xdr:rowOff>203200</xdr:rowOff>
                  </to>
                </anchor>
              </controlPr>
            </control>
          </mc:Choice>
        </mc:AlternateContent>
        <mc:AlternateContent xmlns:mc="http://schemas.openxmlformats.org/markup-compatibility/2006">
          <mc:Choice Requires="x14">
            <control shapeId="106499" r:id="rId6" name="Option Button 3">
              <controlPr defaultSize="0" autoFill="0" autoLine="0" autoPict="0">
                <anchor moveWithCells="1">
                  <from>
                    <xdr:col>1</xdr:col>
                    <xdr:colOff>438150</xdr:colOff>
                    <xdr:row>8</xdr:row>
                    <xdr:rowOff>12700</xdr:rowOff>
                  </from>
                  <to>
                    <xdr:col>1</xdr:col>
                    <xdr:colOff>914400</xdr:colOff>
                    <xdr:row>8</xdr:row>
                    <xdr:rowOff>203200</xdr:rowOff>
                  </to>
                </anchor>
              </controlPr>
            </control>
          </mc:Choice>
        </mc:AlternateContent>
        <mc:AlternateContent xmlns:mc="http://schemas.openxmlformats.org/markup-compatibility/2006">
          <mc:Choice Requires="x14">
            <control shapeId="106500" r:id="rId7" name="Option Button 4">
              <controlPr defaultSize="0" autoFill="0" autoLine="0" autoPict="0">
                <anchor moveWithCells="1">
                  <from>
                    <xdr:col>1</xdr:col>
                    <xdr:colOff>438150</xdr:colOff>
                    <xdr:row>9</xdr:row>
                    <xdr:rowOff>12700</xdr:rowOff>
                  </from>
                  <to>
                    <xdr:col>1</xdr:col>
                    <xdr:colOff>914400</xdr:colOff>
                    <xdr:row>9</xdr:row>
                    <xdr:rowOff>203200</xdr:rowOff>
                  </to>
                </anchor>
              </controlPr>
            </control>
          </mc:Choice>
        </mc:AlternateContent>
        <mc:AlternateContent xmlns:mc="http://schemas.openxmlformats.org/markup-compatibility/2006">
          <mc:Choice Requires="x14">
            <control shapeId="106501" r:id="rId8" name="Option Button 5">
              <controlPr defaultSize="0" autoFill="0" autoLine="0" autoPict="0">
                <anchor moveWithCells="1">
                  <from>
                    <xdr:col>1</xdr:col>
                    <xdr:colOff>438150</xdr:colOff>
                    <xdr:row>10</xdr:row>
                    <xdr:rowOff>12700</xdr:rowOff>
                  </from>
                  <to>
                    <xdr:col>1</xdr:col>
                    <xdr:colOff>914400</xdr:colOff>
                    <xdr:row>10</xdr:row>
                    <xdr:rowOff>203200</xdr:rowOff>
                  </to>
                </anchor>
              </controlPr>
            </control>
          </mc:Choice>
        </mc:AlternateContent>
        <mc:AlternateContent xmlns:mc="http://schemas.openxmlformats.org/markup-compatibility/2006">
          <mc:Choice Requires="x14">
            <control shapeId="106502" r:id="rId9" name="Option Button 6">
              <controlPr defaultSize="0" autoFill="0" autoLine="0" autoPict="0">
                <anchor moveWithCells="1">
                  <from>
                    <xdr:col>1</xdr:col>
                    <xdr:colOff>438150</xdr:colOff>
                    <xdr:row>11</xdr:row>
                    <xdr:rowOff>12700</xdr:rowOff>
                  </from>
                  <to>
                    <xdr:col>1</xdr:col>
                    <xdr:colOff>914400</xdr:colOff>
                    <xdr:row>11</xdr:row>
                    <xdr:rowOff>203200</xdr:rowOff>
                  </to>
                </anchor>
              </controlPr>
            </control>
          </mc:Choice>
        </mc:AlternateContent>
        <mc:AlternateContent xmlns:mc="http://schemas.openxmlformats.org/markup-compatibility/2006">
          <mc:Choice Requires="x14">
            <control shapeId="106503" r:id="rId10" name="Option Button 7">
              <controlPr defaultSize="0" autoFill="0" autoLine="0" autoPict="0">
                <anchor moveWithCells="1">
                  <from>
                    <xdr:col>1</xdr:col>
                    <xdr:colOff>438150</xdr:colOff>
                    <xdr:row>12</xdr:row>
                    <xdr:rowOff>12700</xdr:rowOff>
                  </from>
                  <to>
                    <xdr:col>1</xdr:col>
                    <xdr:colOff>914400</xdr:colOff>
                    <xdr:row>12</xdr:row>
                    <xdr:rowOff>203200</xdr:rowOff>
                  </to>
                </anchor>
              </controlPr>
            </control>
          </mc:Choice>
        </mc:AlternateContent>
        <mc:AlternateContent xmlns:mc="http://schemas.openxmlformats.org/markup-compatibility/2006">
          <mc:Choice Requires="x14">
            <control shapeId="106504" r:id="rId11" name="Option Button 8">
              <controlPr defaultSize="0" autoFill="0" autoLine="0" autoPict="0">
                <anchor moveWithCells="1">
                  <from>
                    <xdr:col>1</xdr:col>
                    <xdr:colOff>438150</xdr:colOff>
                    <xdr:row>13</xdr:row>
                    <xdr:rowOff>12700</xdr:rowOff>
                  </from>
                  <to>
                    <xdr:col>1</xdr:col>
                    <xdr:colOff>914400</xdr:colOff>
                    <xdr:row>13</xdr:row>
                    <xdr:rowOff>203200</xdr:rowOff>
                  </to>
                </anchor>
              </controlPr>
            </control>
          </mc:Choice>
        </mc:AlternateContent>
        <mc:AlternateContent xmlns:mc="http://schemas.openxmlformats.org/markup-compatibility/2006">
          <mc:Choice Requires="x14">
            <control shapeId="106505" r:id="rId12" name="Option Button 9">
              <controlPr defaultSize="0" autoFill="0" autoLine="0" autoPict="0">
                <anchor moveWithCells="1">
                  <from>
                    <xdr:col>1</xdr:col>
                    <xdr:colOff>438150</xdr:colOff>
                    <xdr:row>14</xdr:row>
                    <xdr:rowOff>12700</xdr:rowOff>
                  </from>
                  <to>
                    <xdr:col>1</xdr:col>
                    <xdr:colOff>914400</xdr:colOff>
                    <xdr:row>15</xdr:row>
                    <xdr:rowOff>0</xdr:rowOff>
                  </to>
                </anchor>
              </controlPr>
            </control>
          </mc:Choice>
        </mc:AlternateContent>
        <mc:AlternateContent xmlns:mc="http://schemas.openxmlformats.org/markup-compatibility/2006">
          <mc:Choice Requires="x14">
            <control shapeId="106506" r:id="rId13" name="Option Button 10">
              <controlPr defaultSize="0" autoFill="0" autoLine="0" autoPict="0">
                <anchor moveWithCells="1">
                  <from>
                    <xdr:col>1</xdr:col>
                    <xdr:colOff>438150</xdr:colOff>
                    <xdr:row>15</xdr:row>
                    <xdr:rowOff>12700</xdr:rowOff>
                  </from>
                  <to>
                    <xdr:col>1</xdr:col>
                    <xdr:colOff>914400</xdr:colOff>
                    <xdr:row>16</xdr:row>
                    <xdr:rowOff>0</xdr:rowOff>
                  </to>
                </anchor>
              </controlPr>
            </control>
          </mc:Choice>
        </mc:AlternateContent>
        <mc:AlternateContent xmlns:mc="http://schemas.openxmlformats.org/markup-compatibility/2006">
          <mc:Choice Requires="x14">
            <control shapeId="106507" r:id="rId14" name="Option Button 11">
              <controlPr defaultSize="0" autoFill="0" autoLine="0" autoPict="0">
                <anchor moveWithCells="1">
                  <from>
                    <xdr:col>1</xdr:col>
                    <xdr:colOff>438150</xdr:colOff>
                    <xdr:row>16</xdr:row>
                    <xdr:rowOff>12700</xdr:rowOff>
                  </from>
                  <to>
                    <xdr:col>1</xdr:col>
                    <xdr:colOff>914400</xdr:colOff>
                    <xdr:row>16</xdr:row>
                    <xdr:rowOff>203200</xdr:rowOff>
                  </to>
                </anchor>
              </controlPr>
            </control>
          </mc:Choice>
        </mc:AlternateContent>
        <mc:AlternateContent xmlns:mc="http://schemas.openxmlformats.org/markup-compatibility/2006">
          <mc:Choice Requires="x14">
            <control shapeId="106508" r:id="rId15" name="Option Button 12">
              <controlPr defaultSize="0" autoFill="0" autoLine="0" autoPict="0">
                <anchor moveWithCells="1">
                  <from>
                    <xdr:col>1</xdr:col>
                    <xdr:colOff>438150</xdr:colOff>
                    <xdr:row>17</xdr:row>
                    <xdr:rowOff>12700</xdr:rowOff>
                  </from>
                  <to>
                    <xdr:col>1</xdr:col>
                    <xdr:colOff>914400</xdr:colOff>
                    <xdr:row>17</xdr:row>
                    <xdr:rowOff>203200</xdr:rowOff>
                  </to>
                </anchor>
              </controlPr>
            </control>
          </mc:Choice>
        </mc:AlternateContent>
        <mc:AlternateContent xmlns:mc="http://schemas.openxmlformats.org/markup-compatibility/2006">
          <mc:Choice Requires="x14">
            <control shapeId="106509" r:id="rId16" name="Option Button 13">
              <controlPr defaultSize="0" autoFill="0" autoLine="0" autoPict="0">
                <anchor moveWithCells="1">
                  <from>
                    <xdr:col>1</xdr:col>
                    <xdr:colOff>438150</xdr:colOff>
                    <xdr:row>18</xdr:row>
                    <xdr:rowOff>12700</xdr:rowOff>
                  </from>
                  <to>
                    <xdr:col>1</xdr:col>
                    <xdr:colOff>914400</xdr:colOff>
                    <xdr:row>18</xdr:row>
                    <xdr:rowOff>203200</xdr:rowOff>
                  </to>
                </anchor>
              </controlPr>
            </control>
          </mc:Choice>
        </mc:AlternateContent>
        <mc:AlternateContent xmlns:mc="http://schemas.openxmlformats.org/markup-compatibility/2006">
          <mc:Choice Requires="x14">
            <control shapeId="106510" r:id="rId17" name="Option Button 14">
              <controlPr defaultSize="0" autoFill="0" autoLine="0" autoPict="0">
                <anchor moveWithCells="1">
                  <from>
                    <xdr:col>1</xdr:col>
                    <xdr:colOff>438150</xdr:colOff>
                    <xdr:row>19</xdr:row>
                    <xdr:rowOff>12700</xdr:rowOff>
                  </from>
                  <to>
                    <xdr:col>1</xdr:col>
                    <xdr:colOff>914400</xdr:colOff>
                    <xdr:row>19</xdr:row>
                    <xdr:rowOff>203200</xdr:rowOff>
                  </to>
                </anchor>
              </controlPr>
            </control>
          </mc:Choice>
        </mc:AlternateContent>
        <mc:AlternateContent xmlns:mc="http://schemas.openxmlformats.org/markup-compatibility/2006">
          <mc:Choice Requires="x14">
            <control shapeId="106511" r:id="rId18" name="Option Button 15">
              <controlPr defaultSize="0" autoFill="0" autoLine="0" autoPict="0">
                <anchor moveWithCells="1">
                  <from>
                    <xdr:col>1</xdr:col>
                    <xdr:colOff>438150</xdr:colOff>
                    <xdr:row>20</xdr:row>
                    <xdr:rowOff>12700</xdr:rowOff>
                  </from>
                  <to>
                    <xdr:col>1</xdr:col>
                    <xdr:colOff>914400</xdr:colOff>
                    <xdr:row>20</xdr:row>
                    <xdr:rowOff>203200</xdr:rowOff>
                  </to>
                </anchor>
              </controlPr>
            </control>
          </mc:Choice>
        </mc:AlternateContent>
        <mc:AlternateContent xmlns:mc="http://schemas.openxmlformats.org/markup-compatibility/2006">
          <mc:Choice Requires="x14">
            <control shapeId="106512" r:id="rId19" name="Option Button 16">
              <controlPr defaultSize="0" autoFill="0" autoLine="0" autoPict="0">
                <anchor moveWithCells="1">
                  <from>
                    <xdr:col>1</xdr:col>
                    <xdr:colOff>438150</xdr:colOff>
                    <xdr:row>21</xdr:row>
                    <xdr:rowOff>12700</xdr:rowOff>
                  </from>
                  <to>
                    <xdr:col>1</xdr:col>
                    <xdr:colOff>914400</xdr:colOff>
                    <xdr:row>21</xdr:row>
                    <xdr:rowOff>203200</xdr:rowOff>
                  </to>
                </anchor>
              </controlPr>
            </control>
          </mc:Choice>
        </mc:AlternateContent>
        <mc:AlternateContent xmlns:mc="http://schemas.openxmlformats.org/markup-compatibility/2006">
          <mc:Choice Requires="x14">
            <control shapeId="106513" r:id="rId20" name="Option Button 17">
              <controlPr defaultSize="0" autoFill="0" autoLine="0" autoPict="0">
                <anchor moveWithCells="1">
                  <from>
                    <xdr:col>1</xdr:col>
                    <xdr:colOff>438150</xdr:colOff>
                    <xdr:row>22</xdr:row>
                    <xdr:rowOff>12700</xdr:rowOff>
                  </from>
                  <to>
                    <xdr:col>1</xdr:col>
                    <xdr:colOff>914400</xdr:colOff>
                    <xdr:row>22</xdr:row>
                    <xdr:rowOff>203200</xdr:rowOff>
                  </to>
                </anchor>
              </controlPr>
            </control>
          </mc:Choice>
        </mc:AlternateContent>
        <mc:AlternateContent xmlns:mc="http://schemas.openxmlformats.org/markup-compatibility/2006">
          <mc:Choice Requires="x14">
            <control shapeId="106514" r:id="rId21" name="Option Button 18">
              <controlPr defaultSize="0" autoFill="0" autoLine="0" autoPict="0">
                <anchor moveWithCells="1">
                  <from>
                    <xdr:col>1</xdr:col>
                    <xdr:colOff>438150</xdr:colOff>
                    <xdr:row>23</xdr:row>
                    <xdr:rowOff>12700</xdr:rowOff>
                  </from>
                  <to>
                    <xdr:col>1</xdr:col>
                    <xdr:colOff>914400</xdr:colOff>
                    <xdr:row>23</xdr:row>
                    <xdr:rowOff>203200</xdr:rowOff>
                  </to>
                </anchor>
              </controlPr>
            </control>
          </mc:Choice>
        </mc:AlternateContent>
        <mc:AlternateContent xmlns:mc="http://schemas.openxmlformats.org/markup-compatibility/2006">
          <mc:Choice Requires="x14">
            <control shapeId="106515" r:id="rId22" name="Option Button 19">
              <controlPr defaultSize="0" autoFill="0" autoLine="0" autoPict="0">
                <anchor moveWithCells="1">
                  <from>
                    <xdr:col>1</xdr:col>
                    <xdr:colOff>438150</xdr:colOff>
                    <xdr:row>24</xdr:row>
                    <xdr:rowOff>12700</xdr:rowOff>
                  </from>
                  <to>
                    <xdr:col>1</xdr:col>
                    <xdr:colOff>914400</xdr:colOff>
                    <xdr:row>24</xdr:row>
                    <xdr:rowOff>203200</xdr:rowOff>
                  </to>
                </anchor>
              </controlPr>
            </control>
          </mc:Choice>
        </mc:AlternateContent>
        <mc:AlternateContent xmlns:mc="http://schemas.openxmlformats.org/markup-compatibility/2006">
          <mc:Choice Requires="x14">
            <control shapeId="106516" r:id="rId23" name="Option Button 20">
              <controlPr defaultSize="0" autoFill="0" autoLine="0" autoPict="0">
                <anchor moveWithCells="1">
                  <from>
                    <xdr:col>1</xdr:col>
                    <xdr:colOff>438150</xdr:colOff>
                    <xdr:row>25</xdr:row>
                    <xdr:rowOff>12700</xdr:rowOff>
                  </from>
                  <to>
                    <xdr:col>1</xdr:col>
                    <xdr:colOff>914400</xdr:colOff>
                    <xdr:row>25</xdr:row>
                    <xdr:rowOff>203200</xdr:rowOff>
                  </to>
                </anchor>
              </controlPr>
            </control>
          </mc:Choice>
        </mc:AlternateContent>
        <mc:AlternateContent xmlns:mc="http://schemas.openxmlformats.org/markup-compatibility/2006">
          <mc:Choice Requires="x14">
            <control shapeId="106517" r:id="rId24" name="Option Button 21">
              <controlPr defaultSize="0" autoFill="0" autoLine="0" autoPict="0">
                <anchor moveWithCells="1">
                  <from>
                    <xdr:col>1</xdr:col>
                    <xdr:colOff>438150</xdr:colOff>
                    <xdr:row>26</xdr:row>
                    <xdr:rowOff>12700</xdr:rowOff>
                  </from>
                  <to>
                    <xdr:col>1</xdr:col>
                    <xdr:colOff>914400</xdr:colOff>
                    <xdr:row>26</xdr:row>
                    <xdr:rowOff>203200</xdr:rowOff>
                  </to>
                </anchor>
              </controlPr>
            </control>
          </mc:Choice>
        </mc:AlternateContent>
        <mc:AlternateContent xmlns:mc="http://schemas.openxmlformats.org/markup-compatibility/2006">
          <mc:Choice Requires="x14">
            <control shapeId="106518" r:id="rId25" name="Option Button 22">
              <controlPr defaultSize="0" autoFill="0" autoLine="0" autoPict="0">
                <anchor moveWithCells="1">
                  <from>
                    <xdr:col>1</xdr:col>
                    <xdr:colOff>438150</xdr:colOff>
                    <xdr:row>27</xdr:row>
                    <xdr:rowOff>12700</xdr:rowOff>
                  </from>
                  <to>
                    <xdr:col>1</xdr:col>
                    <xdr:colOff>914400</xdr:colOff>
                    <xdr:row>27</xdr:row>
                    <xdr:rowOff>203200</xdr:rowOff>
                  </to>
                </anchor>
              </controlPr>
            </control>
          </mc:Choice>
        </mc:AlternateContent>
        <mc:AlternateContent xmlns:mc="http://schemas.openxmlformats.org/markup-compatibility/2006">
          <mc:Choice Requires="x14">
            <control shapeId="106519" r:id="rId26" name="Option Button 23">
              <controlPr defaultSize="0" autoFill="0" autoLine="0" autoPict="0">
                <anchor moveWithCells="1">
                  <from>
                    <xdr:col>1</xdr:col>
                    <xdr:colOff>438150</xdr:colOff>
                    <xdr:row>28</xdr:row>
                    <xdr:rowOff>12700</xdr:rowOff>
                  </from>
                  <to>
                    <xdr:col>1</xdr:col>
                    <xdr:colOff>914400</xdr:colOff>
                    <xdr:row>28</xdr:row>
                    <xdr:rowOff>203200</xdr:rowOff>
                  </to>
                </anchor>
              </controlPr>
            </control>
          </mc:Choice>
        </mc:AlternateContent>
        <mc:AlternateContent xmlns:mc="http://schemas.openxmlformats.org/markup-compatibility/2006">
          <mc:Choice Requires="x14">
            <control shapeId="106520" r:id="rId27" name="Option Button 24">
              <controlPr defaultSize="0" autoFill="0" autoLine="0" autoPict="0">
                <anchor moveWithCells="1">
                  <from>
                    <xdr:col>1</xdr:col>
                    <xdr:colOff>438150</xdr:colOff>
                    <xdr:row>29</xdr:row>
                    <xdr:rowOff>12700</xdr:rowOff>
                  </from>
                  <to>
                    <xdr:col>1</xdr:col>
                    <xdr:colOff>914400</xdr:colOff>
                    <xdr:row>29</xdr:row>
                    <xdr:rowOff>203200</xdr:rowOff>
                  </to>
                </anchor>
              </controlPr>
            </control>
          </mc:Choice>
        </mc:AlternateContent>
        <mc:AlternateContent xmlns:mc="http://schemas.openxmlformats.org/markup-compatibility/2006">
          <mc:Choice Requires="x14">
            <control shapeId="106521" r:id="rId28" name="Option Button 25">
              <controlPr defaultSize="0" autoFill="0" autoLine="0" autoPict="0">
                <anchor moveWithCells="1">
                  <from>
                    <xdr:col>1</xdr:col>
                    <xdr:colOff>438150</xdr:colOff>
                    <xdr:row>30</xdr:row>
                    <xdr:rowOff>12700</xdr:rowOff>
                  </from>
                  <to>
                    <xdr:col>1</xdr:col>
                    <xdr:colOff>914400</xdr:colOff>
                    <xdr:row>30</xdr:row>
                    <xdr:rowOff>203200</xdr:rowOff>
                  </to>
                </anchor>
              </controlPr>
            </control>
          </mc:Choice>
        </mc:AlternateContent>
        <mc:AlternateContent xmlns:mc="http://schemas.openxmlformats.org/markup-compatibility/2006">
          <mc:Choice Requires="x14">
            <control shapeId="106522" r:id="rId29" name="Option Button 26">
              <controlPr defaultSize="0" autoFill="0" autoLine="0" autoPict="0">
                <anchor moveWithCells="1">
                  <from>
                    <xdr:col>1</xdr:col>
                    <xdr:colOff>438150</xdr:colOff>
                    <xdr:row>31</xdr:row>
                    <xdr:rowOff>12700</xdr:rowOff>
                  </from>
                  <to>
                    <xdr:col>1</xdr:col>
                    <xdr:colOff>914400</xdr:colOff>
                    <xdr:row>31</xdr:row>
                    <xdr:rowOff>203200</xdr:rowOff>
                  </to>
                </anchor>
              </controlPr>
            </control>
          </mc:Choice>
        </mc:AlternateContent>
        <mc:AlternateContent xmlns:mc="http://schemas.openxmlformats.org/markup-compatibility/2006">
          <mc:Choice Requires="x14">
            <control shapeId="106523" r:id="rId30" name="Option Button 27">
              <controlPr defaultSize="0" autoFill="0" autoLine="0" autoPict="0">
                <anchor moveWithCells="1">
                  <from>
                    <xdr:col>1</xdr:col>
                    <xdr:colOff>438150</xdr:colOff>
                    <xdr:row>32</xdr:row>
                    <xdr:rowOff>12700</xdr:rowOff>
                  </from>
                  <to>
                    <xdr:col>1</xdr:col>
                    <xdr:colOff>914400</xdr:colOff>
                    <xdr:row>32</xdr:row>
                    <xdr:rowOff>203200</xdr:rowOff>
                  </to>
                </anchor>
              </controlPr>
            </control>
          </mc:Choice>
        </mc:AlternateContent>
        <mc:AlternateContent xmlns:mc="http://schemas.openxmlformats.org/markup-compatibility/2006">
          <mc:Choice Requires="x14">
            <control shapeId="106524" r:id="rId31" name="Option Button 28">
              <controlPr defaultSize="0" autoFill="0" autoLine="0" autoPict="0">
                <anchor moveWithCells="1">
                  <from>
                    <xdr:col>1</xdr:col>
                    <xdr:colOff>438150</xdr:colOff>
                    <xdr:row>33</xdr:row>
                    <xdr:rowOff>12700</xdr:rowOff>
                  </from>
                  <to>
                    <xdr:col>1</xdr:col>
                    <xdr:colOff>914400</xdr:colOff>
                    <xdr:row>33</xdr:row>
                    <xdr:rowOff>203200</xdr:rowOff>
                  </to>
                </anchor>
              </controlPr>
            </control>
          </mc:Choice>
        </mc:AlternateContent>
        <mc:AlternateContent xmlns:mc="http://schemas.openxmlformats.org/markup-compatibility/2006">
          <mc:Choice Requires="x14">
            <control shapeId="106525" r:id="rId32" name="Option Button 29">
              <controlPr defaultSize="0" autoFill="0" autoLine="0" autoPict="0">
                <anchor moveWithCells="1">
                  <from>
                    <xdr:col>1</xdr:col>
                    <xdr:colOff>438150</xdr:colOff>
                    <xdr:row>34</xdr:row>
                    <xdr:rowOff>12700</xdr:rowOff>
                  </from>
                  <to>
                    <xdr:col>1</xdr:col>
                    <xdr:colOff>914400</xdr:colOff>
                    <xdr:row>34</xdr:row>
                    <xdr:rowOff>203200</xdr:rowOff>
                  </to>
                </anchor>
              </controlPr>
            </control>
          </mc:Choice>
        </mc:AlternateContent>
        <mc:AlternateContent xmlns:mc="http://schemas.openxmlformats.org/markup-compatibility/2006">
          <mc:Choice Requires="x14">
            <control shapeId="106526" r:id="rId33" name="Option Button 30">
              <controlPr defaultSize="0" autoFill="0" autoLine="0" autoPict="0">
                <anchor moveWithCells="1">
                  <from>
                    <xdr:col>1</xdr:col>
                    <xdr:colOff>438150</xdr:colOff>
                    <xdr:row>35</xdr:row>
                    <xdr:rowOff>12700</xdr:rowOff>
                  </from>
                  <to>
                    <xdr:col>1</xdr:col>
                    <xdr:colOff>914400</xdr:colOff>
                    <xdr:row>35</xdr:row>
                    <xdr:rowOff>203200</xdr:rowOff>
                  </to>
                </anchor>
              </controlPr>
            </control>
          </mc:Choice>
        </mc:AlternateContent>
        <mc:AlternateContent xmlns:mc="http://schemas.openxmlformats.org/markup-compatibility/2006">
          <mc:Choice Requires="x14">
            <control shapeId="106527" r:id="rId34" name="Option Button 31">
              <controlPr defaultSize="0" autoFill="0" autoLine="0" autoPict="0">
                <anchor moveWithCells="1">
                  <from>
                    <xdr:col>1</xdr:col>
                    <xdr:colOff>438150</xdr:colOff>
                    <xdr:row>36</xdr:row>
                    <xdr:rowOff>12700</xdr:rowOff>
                  </from>
                  <to>
                    <xdr:col>1</xdr:col>
                    <xdr:colOff>914400</xdr:colOff>
                    <xdr:row>36</xdr:row>
                    <xdr:rowOff>203200</xdr:rowOff>
                  </to>
                </anchor>
              </controlPr>
            </control>
          </mc:Choice>
        </mc:AlternateContent>
        <mc:AlternateContent xmlns:mc="http://schemas.openxmlformats.org/markup-compatibility/2006">
          <mc:Choice Requires="x14">
            <control shapeId="106528" r:id="rId35" name="Option Button 32">
              <controlPr defaultSize="0" autoFill="0" autoLine="0" autoPict="0">
                <anchor moveWithCells="1">
                  <from>
                    <xdr:col>1</xdr:col>
                    <xdr:colOff>438150</xdr:colOff>
                    <xdr:row>37</xdr:row>
                    <xdr:rowOff>12700</xdr:rowOff>
                  </from>
                  <to>
                    <xdr:col>1</xdr:col>
                    <xdr:colOff>914400</xdr:colOff>
                    <xdr:row>37</xdr:row>
                    <xdr:rowOff>203200</xdr:rowOff>
                  </to>
                </anchor>
              </controlPr>
            </control>
          </mc:Choice>
        </mc:AlternateContent>
        <mc:AlternateContent xmlns:mc="http://schemas.openxmlformats.org/markup-compatibility/2006">
          <mc:Choice Requires="x14">
            <control shapeId="106529" r:id="rId36" name="Option Button 33">
              <controlPr defaultSize="0" autoFill="0" autoLine="0" autoPict="0">
                <anchor moveWithCells="1">
                  <from>
                    <xdr:col>1</xdr:col>
                    <xdr:colOff>438150</xdr:colOff>
                    <xdr:row>38</xdr:row>
                    <xdr:rowOff>12700</xdr:rowOff>
                  </from>
                  <to>
                    <xdr:col>1</xdr:col>
                    <xdr:colOff>914400</xdr:colOff>
                    <xdr:row>38</xdr:row>
                    <xdr:rowOff>203200</xdr:rowOff>
                  </to>
                </anchor>
              </controlPr>
            </control>
          </mc:Choice>
        </mc:AlternateContent>
        <mc:AlternateContent xmlns:mc="http://schemas.openxmlformats.org/markup-compatibility/2006">
          <mc:Choice Requires="x14">
            <control shapeId="106530" r:id="rId37" name="Option Button 34">
              <controlPr defaultSize="0" autoFill="0" autoLine="0" autoPict="0">
                <anchor moveWithCells="1">
                  <from>
                    <xdr:col>1</xdr:col>
                    <xdr:colOff>438150</xdr:colOff>
                    <xdr:row>39</xdr:row>
                    <xdr:rowOff>12700</xdr:rowOff>
                  </from>
                  <to>
                    <xdr:col>1</xdr:col>
                    <xdr:colOff>914400</xdr:colOff>
                    <xdr:row>39</xdr:row>
                    <xdr:rowOff>203200</xdr:rowOff>
                  </to>
                </anchor>
              </controlPr>
            </control>
          </mc:Choice>
        </mc:AlternateContent>
        <mc:AlternateContent xmlns:mc="http://schemas.openxmlformats.org/markup-compatibility/2006">
          <mc:Choice Requires="x14">
            <control shapeId="106531" r:id="rId38" name="Option Button 35">
              <controlPr defaultSize="0" autoFill="0" autoLine="0" autoPict="0">
                <anchor moveWithCells="1">
                  <from>
                    <xdr:col>1</xdr:col>
                    <xdr:colOff>438150</xdr:colOff>
                    <xdr:row>40</xdr:row>
                    <xdr:rowOff>12700</xdr:rowOff>
                  </from>
                  <to>
                    <xdr:col>1</xdr:col>
                    <xdr:colOff>914400</xdr:colOff>
                    <xdr:row>40</xdr:row>
                    <xdr:rowOff>203200</xdr:rowOff>
                  </to>
                </anchor>
              </controlPr>
            </control>
          </mc:Choice>
        </mc:AlternateContent>
        <mc:AlternateContent xmlns:mc="http://schemas.openxmlformats.org/markup-compatibility/2006">
          <mc:Choice Requires="x14">
            <control shapeId="106532" r:id="rId39" name="Option Button 36">
              <controlPr defaultSize="0" autoFill="0" autoLine="0" autoPict="0">
                <anchor moveWithCells="1">
                  <from>
                    <xdr:col>1</xdr:col>
                    <xdr:colOff>438150</xdr:colOff>
                    <xdr:row>41</xdr:row>
                    <xdr:rowOff>12700</xdr:rowOff>
                  </from>
                  <to>
                    <xdr:col>1</xdr:col>
                    <xdr:colOff>914400</xdr:colOff>
                    <xdr:row>41</xdr:row>
                    <xdr:rowOff>203200</xdr:rowOff>
                  </to>
                </anchor>
              </controlPr>
            </control>
          </mc:Choice>
        </mc:AlternateContent>
        <mc:AlternateContent xmlns:mc="http://schemas.openxmlformats.org/markup-compatibility/2006">
          <mc:Choice Requires="x14">
            <control shapeId="106533" r:id="rId40" name="Option Button 37">
              <controlPr defaultSize="0" autoFill="0" autoLine="0" autoPict="0">
                <anchor moveWithCells="1">
                  <from>
                    <xdr:col>1</xdr:col>
                    <xdr:colOff>438150</xdr:colOff>
                    <xdr:row>42</xdr:row>
                    <xdr:rowOff>12700</xdr:rowOff>
                  </from>
                  <to>
                    <xdr:col>1</xdr:col>
                    <xdr:colOff>914400</xdr:colOff>
                    <xdr:row>42</xdr:row>
                    <xdr:rowOff>203200</xdr:rowOff>
                  </to>
                </anchor>
              </controlPr>
            </control>
          </mc:Choice>
        </mc:AlternateContent>
        <mc:AlternateContent xmlns:mc="http://schemas.openxmlformats.org/markup-compatibility/2006">
          <mc:Choice Requires="x14">
            <control shapeId="106534" r:id="rId41" name="Option Button 38">
              <controlPr defaultSize="0" autoFill="0" autoLine="0" autoPict="0">
                <anchor moveWithCells="1">
                  <from>
                    <xdr:col>1</xdr:col>
                    <xdr:colOff>438150</xdr:colOff>
                    <xdr:row>43</xdr:row>
                    <xdr:rowOff>12700</xdr:rowOff>
                  </from>
                  <to>
                    <xdr:col>1</xdr:col>
                    <xdr:colOff>914400</xdr:colOff>
                    <xdr:row>43</xdr:row>
                    <xdr:rowOff>203200</xdr:rowOff>
                  </to>
                </anchor>
              </controlPr>
            </control>
          </mc:Choice>
        </mc:AlternateContent>
        <mc:AlternateContent xmlns:mc="http://schemas.openxmlformats.org/markup-compatibility/2006">
          <mc:Choice Requires="x14">
            <control shapeId="106535" r:id="rId42" name="Option Button 39">
              <controlPr defaultSize="0" autoFill="0" autoLine="0" autoPict="0">
                <anchor moveWithCells="1">
                  <from>
                    <xdr:col>1</xdr:col>
                    <xdr:colOff>438150</xdr:colOff>
                    <xdr:row>44</xdr:row>
                    <xdr:rowOff>12700</xdr:rowOff>
                  </from>
                  <to>
                    <xdr:col>1</xdr:col>
                    <xdr:colOff>914400</xdr:colOff>
                    <xdr:row>44</xdr:row>
                    <xdr:rowOff>203200</xdr:rowOff>
                  </to>
                </anchor>
              </controlPr>
            </control>
          </mc:Choice>
        </mc:AlternateContent>
        <mc:AlternateContent xmlns:mc="http://schemas.openxmlformats.org/markup-compatibility/2006">
          <mc:Choice Requires="x14">
            <control shapeId="106536" r:id="rId43" name="Option Button 40">
              <controlPr defaultSize="0" autoFill="0" autoLine="0" autoPict="0">
                <anchor moveWithCells="1">
                  <from>
                    <xdr:col>1</xdr:col>
                    <xdr:colOff>438150</xdr:colOff>
                    <xdr:row>45</xdr:row>
                    <xdr:rowOff>12700</xdr:rowOff>
                  </from>
                  <to>
                    <xdr:col>1</xdr:col>
                    <xdr:colOff>914400</xdr:colOff>
                    <xdr:row>45</xdr:row>
                    <xdr:rowOff>203200</xdr:rowOff>
                  </to>
                </anchor>
              </controlPr>
            </control>
          </mc:Choice>
        </mc:AlternateContent>
        <mc:AlternateContent xmlns:mc="http://schemas.openxmlformats.org/markup-compatibility/2006">
          <mc:Choice Requires="x14">
            <control shapeId="106537" r:id="rId44" name="Option Button 41">
              <controlPr defaultSize="0" autoFill="0" autoLine="0" autoPict="0">
                <anchor moveWithCells="1">
                  <from>
                    <xdr:col>1</xdr:col>
                    <xdr:colOff>438150</xdr:colOff>
                    <xdr:row>46</xdr:row>
                    <xdr:rowOff>12700</xdr:rowOff>
                  </from>
                  <to>
                    <xdr:col>1</xdr:col>
                    <xdr:colOff>914400</xdr:colOff>
                    <xdr:row>46</xdr:row>
                    <xdr:rowOff>203200</xdr:rowOff>
                  </to>
                </anchor>
              </controlPr>
            </control>
          </mc:Choice>
        </mc:AlternateContent>
        <mc:AlternateContent xmlns:mc="http://schemas.openxmlformats.org/markup-compatibility/2006">
          <mc:Choice Requires="x14">
            <control shapeId="106538" r:id="rId45" name="Option Button 42">
              <controlPr defaultSize="0" autoFill="0" autoLine="0" autoPict="0">
                <anchor moveWithCells="1">
                  <from>
                    <xdr:col>1</xdr:col>
                    <xdr:colOff>438150</xdr:colOff>
                    <xdr:row>47</xdr:row>
                    <xdr:rowOff>12700</xdr:rowOff>
                  </from>
                  <to>
                    <xdr:col>1</xdr:col>
                    <xdr:colOff>914400</xdr:colOff>
                    <xdr:row>47</xdr:row>
                    <xdr:rowOff>203200</xdr:rowOff>
                  </to>
                </anchor>
              </controlPr>
            </control>
          </mc:Choice>
        </mc:AlternateContent>
        <mc:AlternateContent xmlns:mc="http://schemas.openxmlformats.org/markup-compatibility/2006">
          <mc:Choice Requires="x14">
            <control shapeId="106539" r:id="rId46" name="Option Button 43">
              <controlPr defaultSize="0" autoFill="0" autoLine="0" autoPict="0">
                <anchor moveWithCells="1">
                  <from>
                    <xdr:col>1</xdr:col>
                    <xdr:colOff>438150</xdr:colOff>
                    <xdr:row>48</xdr:row>
                    <xdr:rowOff>12700</xdr:rowOff>
                  </from>
                  <to>
                    <xdr:col>1</xdr:col>
                    <xdr:colOff>914400</xdr:colOff>
                    <xdr:row>48</xdr:row>
                    <xdr:rowOff>203200</xdr:rowOff>
                  </to>
                </anchor>
              </controlPr>
            </control>
          </mc:Choice>
        </mc:AlternateContent>
        <mc:AlternateContent xmlns:mc="http://schemas.openxmlformats.org/markup-compatibility/2006">
          <mc:Choice Requires="x14">
            <control shapeId="106540" r:id="rId47" name="Option Button 44">
              <controlPr defaultSize="0" autoFill="0" autoLine="0" autoPict="0">
                <anchor moveWithCells="1">
                  <from>
                    <xdr:col>1</xdr:col>
                    <xdr:colOff>438150</xdr:colOff>
                    <xdr:row>49</xdr:row>
                    <xdr:rowOff>12700</xdr:rowOff>
                  </from>
                  <to>
                    <xdr:col>1</xdr:col>
                    <xdr:colOff>914400</xdr:colOff>
                    <xdr:row>49</xdr:row>
                    <xdr:rowOff>203200</xdr:rowOff>
                  </to>
                </anchor>
              </controlPr>
            </control>
          </mc:Choice>
        </mc:AlternateContent>
        <mc:AlternateContent xmlns:mc="http://schemas.openxmlformats.org/markup-compatibility/2006">
          <mc:Choice Requires="x14">
            <control shapeId="106541" r:id="rId48" name="Option Button 45">
              <controlPr defaultSize="0" autoFill="0" autoLine="0" autoPict="0">
                <anchor moveWithCells="1">
                  <from>
                    <xdr:col>1</xdr:col>
                    <xdr:colOff>438150</xdr:colOff>
                    <xdr:row>50</xdr:row>
                    <xdr:rowOff>12700</xdr:rowOff>
                  </from>
                  <to>
                    <xdr:col>1</xdr:col>
                    <xdr:colOff>914400</xdr:colOff>
                    <xdr:row>50</xdr:row>
                    <xdr:rowOff>209550</xdr:rowOff>
                  </to>
                </anchor>
              </controlPr>
            </control>
          </mc:Choice>
        </mc:AlternateContent>
        <mc:AlternateContent xmlns:mc="http://schemas.openxmlformats.org/markup-compatibility/2006">
          <mc:Choice Requires="x14">
            <control shapeId="106542" r:id="rId49" name="Option Button 46">
              <controlPr defaultSize="0" autoFill="0" autoLine="0" autoPict="0">
                <anchor moveWithCells="1">
                  <from>
                    <xdr:col>1</xdr:col>
                    <xdr:colOff>438150</xdr:colOff>
                    <xdr:row>51</xdr:row>
                    <xdr:rowOff>12700</xdr:rowOff>
                  </from>
                  <to>
                    <xdr:col>1</xdr:col>
                    <xdr:colOff>914400</xdr:colOff>
                    <xdr:row>51</xdr:row>
                    <xdr:rowOff>203200</xdr:rowOff>
                  </to>
                </anchor>
              </controlPr>
            </control>
          </mc:Choice>
        </mc:AlternateContent>
        <mc:AlternateContent xmlns:mc="http://schemas.openxmlformats.org/markup-compatibility/2006">
          <mc:Choice Requires="x14">
            <control shapeId="106543" r:id="rId50" name="Option Button 47">
              <controlPr defaultSize="0" autoFill="0" autoLine="0" autoPict="0">
                <anchor moveWithCells="1">
                  <from>
                    <xdr:col>1</xdr:col>
                    <xdr:colOff>438150</xdr:colOff>
                    <xdr:row>52</xdr:row>
                    <xdr:rowOff>12700</xdr:rowOff>
                  </from>
                  <to>
                    <xdr:col>1</xdr:col>
                    <xdr:colOff>914400</xdr:colOff>
                    <xdr:row>52</xdr:row>
                    <xdr:rowOff>203200</xdr:rowOff>
                  </to>
                </anchor>
              </controlPr>
            </control>
          </mc:Choice>
        </mc:AlternateContent>
        <mc:AlternateContent xmlns:mc="http://schemas.openxmlformats.org/markup-compatibility/2006">
          <mc:Choice Requires="x14">
            <control shapeId="106544" r:id="rId51" name="Option Button 48">
              <controlPr defaultSize="0" autoFill="0" autoLine="0" autoPict="0">
                <anchor moveWithCells="1">
                  <from>
                    <xdr:col>1</xdr:col>
                    <xdr:colOff>438150</xdr:colOff>
                    <xdr:row>53</xdr:row>
                    <xdr:rowOff>12700</xdr:rowOff>
                  </from>
                  <to>
                    <xdr:col>1</xdr:col>
                    <xdr:colOff>914400</xdr:colOff>
                    <xdr:row>53</xdr:row>
                    <xdr:rowOff>209550</xdr:rowOff>
                  </to>
                </anchor>
              </controlPr>
            </control>
          </mc:Choice>
        </mc:AlternateContent>
        <mc:AlternateContent xmlns:mc="http://schemas.openxmlformats.org/markup-compatibility/2006">
          <mc:Choice Requires="x14">
            <control shapeId="106545" r:id="rId52" name="Option Button 49">
              <controlPr defaultSize="0" autoFill="0" autoLine="0" autoPict="0">
                <anchor moveWithCells="1">
                  <from>
                    <xdr:col>1</xdr:col>
                    <xdr:colOff>438150</xdr:colOff>
                    <xdr:row>54</xdr:row>
                    <xdr:rowOff>12700</xdr:rowOff>
                  </from>
                  <to>
                    <xdr:col>1</xdr:col>
                    <xdr:colOff>914400</xdr:colOff>
                    <xdr:row>54</xdr:row>
                    <xdr:rowOff>203200</xdr:rowOff>
                  </to>
                </anchor>
              </controlPr>
            </control>
          </mc:Choice>
        </mc:AlternateContent>
        <mc:AlternateContent xmlns:mc="http://schemas.openxmlformats.org/markup-compatibility/2006">
          <mc:Choice Requires="x14">
            <control shapeId="106546" r:id="rId53" name="Option Button 50">
              <controlPr defaultSize="0" autoFill="0" autoLine="0" autoPict="0">
                <anchor moveWithCells="1">
                  <from>
                    <xdr:col>1</xdr:col>
                    <xdr:colOff>438150</xdr:colOff>
                    <xdr:row>55</xdr:row>
                    <xdr:rowOff>12700</xdr:rowOff>
                  </from>
                  <to>
                    <xdr:col>1</xdr:col>
                    <xdr:colOff>914400</xdr:colOff>
                    <xdr:row>55</xdr:row>
                    <xdr:rowOff>203200</xdr:rowOff>
                  </to>
                </anchor>
              </controlPr>
            </control>
          </mc:Choice>
        </mc:AlternateContent>
        <mc:AlternateContent xmlns:mc="http://schemas.openxmlformats.org/markup-compatibility/2006">
          <mc:Choice Requires="x14">
            <control shapeId="106547" r:id="rId54" name="Option Button 51">
              <controlPr defaultSize="0" autoFill="0" autoLine="0" autoPict="0">
                <anchor moveWithCells="1">
                  <from>
                    <xdr:col>1</xdr:col>
                    <xdr:colOff>438150</xdr:colOff>
                    <xdr:row>56</xdr:row>
                    <xdr:rowOff>12700</xdr:rowOff>
                  </from>
                  <to>
                    <xdr:col>1</xdr:col>
                    <xdr:colOff>914400</xdr:colOff>
                    <xdr:row>56</xdr:row>
                    <xdr:rowOff>203200</xdr:rowOff>
                  </to>
                </anchor>
              </controlPr>
            </control>
          </mc:Choice>
        </mc:AlternateContent>
        <mc:AlternateContent xmlns:mc="http://schemas.openxmlformats.org/markup-compatibility/2006">
          <mc:Choice Requires="x14">
            <control shapeId="106548" r:id="rId55" name="Option Button 52">
              <controlPr defaultSize="0" autoFill="0" autoLine="0" autoPict="0">
                <anchor moveWithCells="1">
                  <from>
                    <xdr:col>1</xdr:col>
                    <xdr:colOff>438150</xdr:colOff>
                    <xdr:row>57</xdr:row>
                    <xdr:rowOff>12700</xdr:rowOff>
                  </from>
                  <to>
                    <xdr:col>1</xdr:col>
                    <xdr:colOff>914400</xdr:colOff>
                    <xdr:row>57</xdr:row>
                    <xdr:rowOff>203200</xdr:rowOff>
                  </to>
                </anchor>
              </controlPr>
            </control>
          </mc:Choice>
        </mc:AlternateContent>
        <mc:AlternateContent xmlns:mc="http://schemas.openxmlformats.org/markup-compatibility/2006">
          <mc:Choice Requires="x14">
            <control shapeId="106549" r:id="rId56" name="Option Button 53">
              <controlPr defaultSize="0" autoFill="0" autoLine="0" autoPict="0">
                <anchor moveWithCells="1">
                  <from>
                    <xdr:col>1</xdr:col>
                    <xdr:colOff>438150</xdr:colOff>
                    <xdr:row>58</xdr:row>
                    <xdr:rowOff>12700</xdr:rowOff>
                  </from>
                  <to>
                    <xdr:col>1</xdr:col>
                    <xdr:colOff>914400</xdr:colOff>
                    <xdr:row>58</xdr:row>
                    <xdr:rowOff>203200</xdr:rowOff>
                  </to>
                </anchor>
              </controlPr>
            </control>
          </mc:Choice>
        </mc:AlternateContent>
        <mc:AlternateContent xmlns:mc="http://schemas.openxmlformats.org/markup-compatibility/2006">
          <mc:Choice Requires="x14">
            <control shapeId="106550" r:id="rId57" name="Option Button 54">
              <controlPr defaultSize="0" autoFill="0" autoLine="0" autoPict="0">
                <anchor moveWithCells="1">
                  <from>
                    <xdr:col>1</xdr:col>
                    <xdr:colOff>438150</xdr:colOff>
                    <xdr:row>59</xdr:row>
                    <xdr:rowOff>12700</xdr:rowOff>
                  </from>
                  <to>
                    <xdr:col>1</xdr:col>
                    <xdr:colOff>914400</xdr:colOff>
                    <xdr:row>59</xdr:row>
                    <xdr:rowOff>203200</xdr:rowOff>
                  </to>
                </anchor>
              </controlPr>
            </control>
          </mc:Choice>
        </mc:AlternateContent>
        <mc:AlternateContent xmlns:mc="http://schemas.openxmlformats.org/markup-compatibility/2006">
          <mc:Choice Requires="x14">
            <control shapeId="106551" r:id="rId58" name="Option Button 55">
              <controlPr defaultSize="0" autoFill="0" autoLine="0" autoPict="0">
                <anchor moveWithCells="1">
                  <from>
                    <xdr:col>1</xdr:col>
                    <xdr:colOff>438150</xdr:colOff>
                    <xdr:row>60</xdr:row>
                    <xdr:rowOff>12700</xdr:rowOff>
                  </from>
                  <to>
                    <xdr:col>1</xdr:col>
                    <xdr:colOff>914400</xdr:colOff>
                    <xdr:row>60</xdr:row>
                    <xdr:rowOff>203200</xdr:rowOff>
                  </to>
                </anchor>
              </controlPr>
            </control>
          </mc:Choice>
        </mc:AlternateContent>
        <mc:AlternateContent xmlns:mc="http://schemas.openxmlformats.org/markup-compatibility/2006">
          <mc:Choice Requires="x14">
            <control shapeId="106552" r:id="rId59" name="Option Button 56">
              <controlPr defaultSize="0" autoFill="0" autoLine="0" autoPict="0">
                <anchor moveWithCells="1">
                  <from>
                    <xdr:col>1</xdr:col>
                    <xdr:colOff>438150</xdr:colOff>
                    <xdr:row>61</xdr:row>
                    <xdr:rowOff>12700</xdr:rowOff>
                  </from>
                  <to>
                    <xdr:col>1</xdr:col>
                    <xdr:colOff>914400</xdr:colOff>
                    <xdr:row>61</xdr:row>
                    <xdr:rowOff>203200</xdr:rowOff>
                  </to>
                </anchor>
              </controlPr>
            </control>
          </mc:Choice>
        </mc:AlternateContent>
        <mc:AlternateContent xmlns:mc="http://schemas.openxmlformats.org/markup-compatibility/2006">
          <mc:Choice Requires="x14">
            <control shapeId="106553" r:id="rId60" name="Option Button 57">
              <controlPr defaultSize="0" autoFill="0" autoLine="0" autoPict="0">
                <anchor moveWithCells="1">
                  <from>
                    <xdr:col>1</xdr:col>
                    <xdr:colOff>438150</xdr:colOff>
                    <xdr:row>62</xdr:row>
                    <xdr:rowOff>12700</xdr:rowOff>
                  </from>
                  <to>
                    <xdr:col>1</xdr:col>
                    <xdr:colOff>914400</xdr:colOff>
                    <xdr:row>62</xdr:row>
                    <xdr:rowOff>203200</xdr:rowOff>
                  </to>
                </anchor>
              </controlPr>
            </control>
          </mc:Choice>
        </mc:AlternateContent>
        <mc:AlternateContent xmlns:mc="http://schemas.openxmlformats.org/markup-compatibility/2006">
          <mc:Choice Requires="x14">
            <control shapeId="106554" r:id="rId61" name="Option Button 58">
              <controlPr defaultSize="0" autoFill="0" autoLine="0" autoPict="0">
                <anchor moveWithCells="1">
                  <from>
                    <xdr:col>1</xdr:col>
                    <xdr:colOff>438150</xdr:colOff>
                    <xdr:row>63</xdr:row>
                    <xdr:rowOff>12700</xdr:rowOff>
                  </from>
                  <to>
                    <xdr:col>1</xdr:col>
                    <xdr:colOff>914400</xdr:colOff>
                    <xdr:row>63</xdr:row>
                    <xdr:rowOff>203200</xdr:rowOff>
                  </to>
                </anchor>
              </controlPr>
            </control>
          </mc:Choice>
        </mc:AlternateContent>
        <mc:AlternateContent xmlns:mc="http://schemas.openxmlformats.org/markup-compatibility/2006">
          <mc:Choice Requires="x14">
            <control shapeId="106555" r:id="rId62" name="Option Button 59">
              <controlPr defaultSize="0" autoFill="0" autoLine="0" autoPict="0">
                <anchor moveWithCells="1">
                  <from>
                    <xdr:col>1</xdr:col>
                    <xdr:colOff>438150</xdr:colOff>
                    <xdr:row>64</xdr:row>
                    <xdr:rowOff>12700</xdr:rowOff>
                  </from>
                  <to>
                    <xdr:col>1</xdr:col>
                    <xdr:colOff>914400</xdr:colOff>
                    <xdr:row>64</xdr:row>
                    <xdr:rowOff>203200</xdr:rowOff>
                  </to>
                </anchor>
              </controlPr>
            </control>
          </mc:Choice>
        </mc:AlternateContent>
        <mc:AlternateContent xmlns:mc="http://schemas.openxmlformats.org/markup-compatibility/2006">
          <mc:Choice Requires="x14">
            <control shapeId="106556" r:id="rId63" name="Option Button 60">
              <controlPr defaultSize="0" autoFill="0" autoLine="0" autoPict="0">
                <anchor moveWithCells="1">
                  <from>
                    <xdr:col>1</xdr:col>
                    <xdr:colOff>438150</xdr:colOff>
                    <xdr:row>65</xdr:row>
                    <xdr:rowOff>12700</xdr:rowOff>
                  </from>
                  <to>
                    <xdr:col>1</xdr:col>
                    <xdr:colOff>914400</xdr:colOff>
                    <xdr:row>65</xdr:row>
                    <xdr:rowOff>203200</xdr:rowOff>
                  </to>
                </anchor>
              </controlPr>
            </control>
          </mc:Choice>
        </mc:AlternateContent>
        <mc:AlternateContent xmlns:mc="http://schemas.openxmlformats.org/markup-compatibility/2006">
          <mc:Choice Requires="x14">
            <control shapeId="106557" r:id="rId64" name="Option Button 61">
              <controlPr defaultSize="0" autoFill="0" autoLine="0" autoPict="0">
                <anchor moveWithCells="1">
                  <from>
                    <xdr:col>1</xdr:col>
                    <xdr:colOff>438150</xdr:colOff>
                    <xdr:row>66</xdr:row>
                    <xdr:rowOff>12700</xdr:rowOff>
                  </from>
                  <to>
                    <xdr:col>1</xdr:col>
                    <xdr:colOff>914400</xdr:colOff>
                    <xdr:row>66</xdr:row>
                    <xdr:rowOff>203200</xdr:rowOff>
                  </to>
                </anchor>
              </controlPr>
            </control>
          </mc:Choice>
        </mc:AlternateContent>
        <mc:AlternateContent xmlns:mc="http://schemas.openxmlformats.org/markup-compatibility/2006">
          <mc:Choice Requires="x14">
            <control shapeId="106558" r:id="rId65" name="Option Button 62">
              <controlPr defaultSize="0" autoFill="0" autoLine="0" autoPict="0">
                <anchor moveWithCells="1">
                  <from>
                    <xdr:col>1</xdr:col>
                    <xdr:colOff>438150</xdr:colOff>
                    <xdr:row>67</xdr:row>
                    <xdr:rowOff>12700</xdr:rowOff>
                  </from>
                  <to>
                    <xdr:col>1</xdr:col>
                    <xdr:colOff>914400</xdr:colOff>
                    <xdr:row>67</xdr:row>
                    <xdr:rowOff>203200</xdr:rowOff>
                  </to>
                </anchor>
              </controlPr>
            </control>
          </mc:Choice>
        </mc:AlternateContent>
        <mc:AlternateContent xmlns:mc="http://schemas.openxmlformats.org/markup-compatibility/2006">
          <mc:Choice Requires="x14">
            <control shapeId="106559" r:id="rId66" name="Option Button 63">
              <controlPr defaultSize="0" autoFill="0" autoLine="0" autoPict="0">
                <anchor moveWithCells="1">
                  <from>
                    <xdr:col>1</xdr:col>
                    <xdr:colOff>438150</xdr:colOff>
                    <xdr:row>68</xdr:row>
                    <xdr:rowOff>12700</xdr:rowOff>
                  </from>
                  <to>
                    <xdr:col>1</xdr:col>
                    <xdr:colOff>914400</xdr:colOff>
                    <xdr:row>68</xdr:row>
                    <xdr:rowOff>203200</xdr:rowOff>
                  </to>
                </anchor>
              </controlPr>
            </control>
          </mc:Choice>
        </mc:AlternateContent>
        <mc:AlternateContent xmlns:mc="http://schemas.openxmlformats.org/markup-compatibility/2006">
          <mc:Choice Requires="x14">
            <control shapeId="106560" r:id="rId67" name="Option Button 64">
              <controlPr defaultSize="0" autoFill="0" autoLine="0" autoPict="0">
                <anchor moveWithCells="1">
                  <from>
                    <xdr:col>1</xdr:col>
                    <xdr:colOff>438150</xdr:colOff>
                    <xdr:row>69</xdr:row>
                    <xdr:rowOff>12700</xdr:rowOff>
                  </from>
                  <to>
                    <xdr:col>1</xdr:col>
                    <xdr:colOff>914400</xdr:colOff>
                    <xdr:row>69</xdr:row>
                    <xdr:rowOff>203200</xdr:rowOff>
                  </to>
                </anchor>
              </controlPr>
            </control>
          </mc:Choice>
        </mc:AlternateContent>
        <mc:AlternateContent xmlns:mc="http://schemas.openxmlformats.org/markup-compatibility/2006">
          <mc:Choice Requires="x14">
            <control shapeId="106561" r:id="rId68" name="Option Button 65">
              <controlPr defaultSize="0" autoFill="0" autoLine="0" autoPict="0">
                <anchor moveWithCells="1">
                  <from>
                    <xdr:col>1</xdr:col>
                    <xdr:colOff>438150</xdr:colOff>
                    <xdr:row>70</xdr:row>
                    <xdr:rowOff>12700</xdr:rowOff>
                  </from>
                  <to>
                    <xdr:col>1</xdr:col>
                    <xdr:colOff>914400</xdr:colOff>
                    <xdr:row>70</xdr:row>
                    <xdr:rowOff>203200</xdr:rowOff>
                  </to>
                </anchor>
              </controlPr>
            </control>
          </mc:Choice>
        </mc:AlternateContent>
        <mc:AlternateContent xmlns:mc="http://schemas.openxmlformats.org/markup-compatibility/2006">
          <mc:Choice Requires="x14">
            <control shapeId="106562" r:id="rId69" name="Option Button 66">
              <controlPr defaultSize="0" autoFill="0" autoLine="0" autoPict="0">
                <anchor moveWithCells="1">
                  <from>
                    <xdr:col>1</xdr:col>
                    <xdr:colOff>438150</xdr:colOff>
                    <xdr:row>71</xdr:row>
                    <xdr:rowOff>12700</xdr:rowOff>
                  </from>
                  <to>
                    <xdr:col>1</xdr:col>
                    <xdr:colOff>914400</xdr:colOff>
                    <xdr:row>71</xdr:row>
                    <xdr:rowOff>203200</xdr:rowOff>
                  </to>
                </anchor>
              </controlPr>
            </control>
          </mc:Choice>
        </mc:AlternateContent>
        <mc:AlternateContent xmlns:mc="http://schemas.openxmlformats.org/markup-compatibility/2006">
          <mc:Choice Requires="x14">
            <control shapeId="106563" r:id="rId70" name="Option Button 67">
              <controlPr defaultSize="0" autoFill="0" autoLine="0" autoPict="0">
                <anchor moveWithCells="1">
                  <from>
                    <xdr:col>1</xdr:col>
                    <xdr:colOff>438150</xdr:colOff>
                    <xdr:row>72</xdr:row>
                    <xdr:rowOff>12700</xdr:rowOff>
                  </from>
                  <to>
                    <xdr:col>1</xdr:col>
                    <xdr:colOff>914400</xdr:colOff>
                    <xdr:row>72</xdr:row>
                    <xdr:rowOff>203200</xdr:rowOff>
                  </to>
                </anchor>
              </controlPr>
            </control>
          </mc:Choice>
        </mc:AlternateContent>
        <mc:AlternateContent xmlns:mc="http://schemas.openxmlformats.org/markup-compatibility/2006">
          <mc:Choice Requires="x14">
            <control shapeId="106564" r:id="rId71" name="Option Button 68">
              <controlPr defaultSize="0" autoFill="0" autoLine="0" autoPict="0">
                <anchor moveWithCells="1">
                  <from>
                    <xdr:col>1</xdr:col>
                    <xdr:colOff>438150</xdr:colOff>
                    <xdr:row>73</xdr:row>
                    <xdr:rowOff>12700</xdr:rowOff>
                  </from>
                  <to>
                    <xdr:col>1</xdr:col>
                    <xdr:colOff>914400</xdr:colOff>
                    <xdr:row>73</xdr:row>
                    <xdr:rowOff>203200</xdr:rowOff>
                  </to>
                </anchor>
              </controlPr>
            </control>
          </mc:Choice>
        </mc:AlternateContent>
        <mc:AlternateContent xmlns:mc="http://schemas.openxmlformats.org/markup-compatibility/2006">
          <mc:Choice Requires="x14">
            <control shapeId="106565" r:id="rId72" name="Option Button 69">
              <controlPr defaultSize="0" autoFill="0" autoLine="0" autoPict="0">
                <anchor moveWithCells="1">
                  <from>
                    <xdr:col>1</xdr:col>
                    <xdr:colOff>438150</xdr:colOff>
                    <xdr:row>74</xdr:row>
                    <xdr:rowOff>12700</xdr:rowOff>
                  </from>
                  <to>
                    <xdr:col>1</xdr:col>
                    <xdr:colOff>914400</xdr:colOff>
                    <xdr:row>74</xdr:row>
                    <xdr:rowOff>203200</xdr:rowOff>
                  </to>
                </anchor>
              </controlPr>
            </control>
          </mc:Choice>
        </mc:AlternateContent>
        <mc:AlternateContent xmlns:mc="http://schemas.openxmlformats.org/markup-compatibility/2006">
          <mc:Choice Requires="x14">
            <control shapeId="106566" r:id="rId73" name="Option Button 70">
              <controlPr defaultSize="0" autoFill="0" autoLine="0" autoPict="0">
                <anchor moveWithCells="1">
                  <from>
                    <xdr:col>1</xdr:col>
                    <xdr:colOff>438150</xdr:colOff>
                    <xdr:row>75</xdr:row>
                    <xdr:rowOff>12700</xdr:rowOff>
                  </from>
                  <to>
                    <xdr:col>1</xdr:col>
                    <xdr:colOff>914400</xdr:colOff>
                    <xdr:row>75</xdr:row>
                    <xdr:rowOff>203200</xdr:rowOff>
                  </to>
                </anchor>
              </controlPr>
            </control>
          </mc:Choice>
        </mc:AlternateContent>
        <mc:AlternateContent xmlns:mc="http://schemas.openxmlformats.org/markup-compatibility/2006">
          <mc:Choice Requires="x14">
            <control shapeId="106567" r:id="rId74" name="Option Button 71">
              <controlPr defaultSize="0" autoFill="0" autoLine="0" autoPict="0">
                <anchor moveWithCells="1">
                  <from>
                    <xdr:col>1</xdr:col>
                    <xdr:colOff>438150</xdr:colOff>
                    <xdr:row>76</xdr:row>
                    <xdr:rowOff>12700</xdr:rowOff>
                  </from>
                  <to>
                    <xdr:col>1</xdr:col>
                    <xdr:colOff>914400</xdr:colOff>
                    <xdr:row>76</xdr:row>
                    <xdr:rowOff>203200</xdr:rowOff>
                  </to>
                </anchor>
              </controlPr>
            </control>
          </mc:Choice>
        </mc:AlternateContent>
        <mc:AlternateContent xmlns:mc="http://schemas.openxmlformats.org/markup-compatibility/2006">
          <mc:Choice Requires="x14">
            <control shapeId="106568" r:id="rId75" name="Option Button 72">
              <controlPr defaultSize="0" autoFill="0" autoLine="0" autoPict="0">
                <anchor moveWithCells="1">
                  <from>
                    <xdr:col>1</xdr:col>
                    <xdr:colOff>438150</xdr:colOff>
                    <xdr:row>77</xdr:row>
                    <xdr:rowOff>12700</xdr:rowOff>
                  </from>
                  <to>
                    <xdr:col>1</xdr:col>
                    <xdr:colOff>914400</xdr:colOff>
                    <xdr:row>77</xdr:row>
                    <xdr:rowOff>203200</xdr:rowOff>
                  </to>
                </anchor>
              </controlPr>
            </control>
          </mc:Choice>
        </mc:AlternateContent>
        <mc:AlternateContent xmlns:mc="http://schemas.openxmlformats.org/markup-compatibility/2006">
          <mc:Choice Requires="x14">
            <control shapeId="106569" r:id="rId76" name="Option Button 73">
              <controlPr defaultSize="0" autoFill="0" autoLine="0" autoPict="0">
                <anchor moveWithCells="1">
                  <from>
                    <xdr:col>1</xdr:col>
                    <xdr:colOff>438150</xdr:colOff>
                    <xdr:row>78</xdr:row>
                    <xdr:rowOff>12700</xdr:rowOff>
                  </from>
                  <to>
                    <xdr:col>1</xdr:col>
                    <xdr:colOff>914400</xdr:colOff>
                    <xdr:row>78</xdr:row>
                    <xdr:rowOff>203200</xdr:rowOff>
                  </to>
                </anchor>
              </controlPr>
            </control>
          </mc:Choice>
        </mc:AlternateContent>
        <mc:AlternateContent xmlns:mc="http://schemas.openxmlformats.org/markup-compatibility/2006">
          <mc:Choice Requires="x14">
            <control shapeId="106570" r:id="rId77" name="Option Button 74">
              <controlPr defaultSize="0" autoFill="0" autoLine="0" autoPict="0">
                <anchor moveWithCells="1">
                  <from>
                    <xdr:col>1</xdr:col>
                    <xdr:colOff>438150</xdr:colOff>
                    <xdr:row>79</xdr:row>
                    <xdr:rowOff>12700</xdr:rowOff>
                  </from>
                  <to>
                    <xdr:col>1</xdr:col>
                    <xdr:colOff>914400</xdr:colOff>
                    <xdr:row>79</xdr:row>
                    <xdr:rowOff>203200</xdr:rowOff>
                  </to>
                </anchor>
              </controlPr>
            </control>
          </mc:Choice>
        </mc:AlternateContent>
        <mc:AlternateContent xmlns:mc="http://schemas.openxmlformats.org/markup-compatibility/2006">
          <mc:Choice Requires="x14">
            <control shapeId="106571" r:id="rId78" name="Option Button 75">
              <controlPr defaultSize="0" autoFill="0" autoLine="0" autoPict="0">
                <anchor moveWithCells="1">
                  <from>
                    <xdr:col>1</xdr:col>
                    <xdr:colOff>438150</xdr:colOff>
                    <xdr:row>80</xdr:row>
                    <xdr:rowOff>12700</xdr:rowOff>
                  </from>
                  <to>
                    <xdr:col>1</xdr:col>
                    <xdr:colOff>914400</xdr:colOff>
                    <xdr:row>80</xdr:row>
                    <xdr:rowOff>203200</xdr:rowOff>
                  </to>
                </anchor>
              </controlPr>
            </control>
          </mc:Choice>
        </mc:AlternateContent>
        <mc:AlternateContent xmlns:mc="http://schemas.openxmlformats.org/markup-compatibility/2006">
          <mc:Choice Requires="x14">
            <control shapeId="106572" r:id="rId79" name="Option Button 76">
              <controlPr defaultSize="0" autoFill="0" autoLine="0" autoPict="0">
                <anchor moveWithCells="1">
                  <from>
                    <xdr:col>1</xdr:col>
                    <xdr:colOff>438150</xdr:colOff>
                    <xdr:row>81</xdr:row>
                    <xdr:rowOff>12700</xdr:rowOff>
                  </from>
                  <to>
                    <xdr:col>1</xdr:col>
                    <xdr:colOff>914400</xdr:colOff>
                    <xdr:row>81</xdr:row>
                    <xdr:rowOff>203200</xdr:rowOff>
                  </to>
                </anchor>
              </controlPr>
            </control>
          </mc:Choice>
        </mc:AlternateContent>
        <mc:AlternateContent xmlns:mc="http://schemas.openxmlformats.org/markup-compatibility/2006">
          <mc:Choice Requires="x14">
            <control shapeId="106573" r:id="rId80" name="Option Button 77">
              <controlPr defaultSize="0" autoFill="0" autoLine="0" autoPict="0">
                <anchor moveWithCells="1">
                  <from>
                    <xdr:col>1</xdr:col>
                    <xdr:colOff>438150</xdr:colOff>
                    <xdr:row>82</xdr:row>
                    <xdr:rowOff>12700</xdr:rowOff>
                  </from>
                  <to>
                    <xdr:col>1</xdr:col>
                    <xdr:colOff>914400</xdr:colOff>
                    <xdr:row>82</xdr:row>
                    <xdr:rowOff>203200</xdr:rowOff>
                  </to>
                </anchor>
              </controlPr>
            </control>
          </mc:Choice>
        </mc:AlternateContent>
        <mc:AlternateContent xmlns:mc="http://schemas.openxmlformats.org/markup-compatibility/2006">
          <mc:Choice Requires="x14">
            <control shapeId="106574" r:id="rId81" name="Option Button 78">
              <controlPr defaultSize="0" autoFill="0" autoLine="0" autoPict="0">
                <anchor moveWithCells="1">
                  <from>
                    <xdr:col>1</xdr:col>
                    <xdr:colOff>438150</xdr:colOff>
                    <xdr:row>83</xdr:row>
                    <xdr:rowOff>12700</xdr:rowOff>
                  </from>
                  <to>
                    <xdr:col>1</xdr:col>
                    <xdr:colOff>914400</xdr:colOff>
                    <xdr:row>83</xdr:row>
                    <xdr:rowOff>203200</xdr:rowOff>
                  </to>
                </anchor>
              </controlPr>
            </control>
          </mc:Choice>
        </mc:AlternateContent>
        <mc:AlternateContent xmlns:mc="http://schemas.openxmlformats.org/markup-compatibility/2006">
          <mc:Choice Requires="x14">
            <control shapeId="106575" r:id="rId82" name="Option Button 79">
              <controlPr defaultSize="0" autoFill="0" autoLine="0" autoPict="0">
                <anchor moveWithCells="1">
                  <from>
                    <xdr:col>1</xdr:col>
                    <xdr:colOff>438150</xdr:colOff>
                    <xdr:row>84</xdr:row>
                    <xdr:rowOff>12700</xdr:rowOff>
                  </from>
                  <to>
                    <xdr:col>1</xdr:col>
                    <xdr:colOff>914400</xdr:colOff>
                    <xdr:row>84</xdr:row>
                    <xdr:rowOff>203200</xdr:rowOff>
                  </to>
                </anchor>
              </controlPr>
            </control>
          </mc:Choice>
        </mc:AlternateContent>
        <mc:AlternateContent xmlns:mc="http://schemas.openxmlformats.org/markup-compatibility/2006">
          <mc:Choice Requires="x14">
            <control shapeId="106576" r:id="rId83" name="Option Button 80">
              <controlPr defaultSize="0" autoFill="0" autoLine="0" autoPict="0">
                <anchor moveWithCells="1">
                  <from>
                    <xdr:col>1</xdr:col>
                    <xdr:colOff>438150</xdr:colOff>
                    <xdr:row>85</xdr:row>
                    <xdr:rowOff>12700</xdr:rowOff>
                  </from>
                  <to>
                    <xdr:col>1</xdr:col>
                    <xdr:colOff>914400</xdr:colOff>
                    <xdr:row>85</xdr:row>
                    <xdr:rowOff>203200</xdr:rowOff>
                  </to>
                </anchor>
              </controlPr>
            </control>
          </mc:Choice>
        </mc:AlternateContent>
        <mc:AlternateContent xmlns:mc="http://schemas.openxmlformats.org/markup-compatibility/2006">
          <mc:Choice Requires="x14">
            <control shapeId="106577" r:id="rId84" name="Option Button 81">
              <controlPr defaultSize="0" autoFill="0" autoLine="0" autoPict="0">
                <anchor moveWithCells="1">
                  <from>
                    <xdr:col>1</xdr:col>
                    <xdr:colOff>438150</xdr:colOff>
                    <xdr:row>86</xdr:row>
                    <xdr:rowOff>12700</xdr:rowOff>
                  </from>
                  <to>
                    <xdr:col>1</xdr:col>
                    <xdr:colOff>914400</xdr:colOff>
                    <xdr:row>86</xdr:row>
                    <xdr:rowOff>203200</xdr:rowOff>
                  </to>
                </anchor>
              </controlPr>
            </control>
          </mc:Choice>
        </mc:AlternateContent>
        <mc:AlternateContent xmlns:mc="http://schemas.openxmlformats.org/markup-compatibility/2006">
          <mc:Choice Requires="x14">
            <control shapeId="106578" r:id="rId85" name="Option Button 82">
              <controlPr defaultSize="0" autoFill="0" autoLine="0" autoPict="0">
                <anchor moveWithCells="1">
                  <from>
                    <xdr:col>1</xdr:col>
                    <xdr:colOff>438150</xdr:colOff>
                    <xdr:row>87</xdr:row>
                    <xdr:rowOff>12700</xdr:rowOff>
                  </from>
                  <to>
                    <xdr:col>1</xdr:col>
                    <xdr:colOff>914400</xdr:colOff>
                    <xdr:row>87</xdr:row>
                    <xdr:rowOff>209550</xdr:rowOff>
                  </to>
                </anchor>
              </controlPr>
            </control>
          </mc:Choice>
        </mc:AlternateContent>
        <mc:AlternateContent xmlns:mc="http://schemas.openxmlformats.org/markup-compatibility/2006">
          <mc:Choice Requires="x14">
            <control shapeId="106579" r:id="rId86" name="Option Button 83">
              <controlPr defaultSize="0" autoFill="0" autoLine="0" autoPict="0">
                <anchor moveWithCells="1">
                  <from>
                    <xdr:col>1</xdr:col>
                    <xdr:colOff>438150</xdr:colOff>
                    <xdr:row>88</xdr:row>
                    <xdr:rowOff>12700</xdr:rowOff>
                  </from>
                  <to>
                    <xdr:col>1</xdr:col>
                    <xdr:colOff>914400</xdr:colOff>
                    <xdr:row>88</xdr:row>
                    <xdr:rowOff>203200</xdr:rowOff>
                  </to>
                </anchor>
              </controlPr>
            </control>
          </mc:Choice>
        </mc:AlternateContent>
        <mc:AlternateContent xmlns:mc="http://schemas.openxmlformats.org/markup-compatibility/2006">
          <mc:Choice Requires="x14">
            <control shapeId="106580" r:id="rId87" name="Option Button 84">
              <controlPr defaultSize="0" autoFill="0" autoLine="0" autoPict="0">
                <anchor moveWithCells="1">
                  <from>
                    <xdr:col>1</xdr:col>
                    <xdr:colOff>438150</xdr:colOff>
                    <xdr:row>89</xdr:row>
                    <xdr:rowOff>12700</xdr:rowOff>
                  </from>
                  <to>
                    <xdr:col>1</xdr:col>
                    <xdr:colOff>914400</xdr:colOff>
                    <xdr:row>89</xdr:row>
                    <xdr:rowOff>203200</xdr:rowOff>
                  </to>
                </anchor>
              </controlPr>
            </control>
          </mc:Choice>
        </mc:AlternateContent>
        <mc:AlternateContent xmlns:mc="http://schemas.openxmlformats.org/markup-compatibility/2006">
          <mc:Choice Requires="x14">
            <control shapeId="106581" r:id="rId88" name="Option Button 85">
              <controlPr defaultSize="0" autoFill="0" autoLine="0" autoPict="0">
                <anchor moveWithCells="1">
                  <from>
                    <xdr:col>1</xdr:col>
                    <xdr:colOff>438150</xdr:colOff>
                    <xdr:row>90</xdr:row>
                    <xdr:rowOff>12700</xdr:rowOff>
                  </from>
                  <to>
                    <xdr:col>1</xdr:col>
                    <xdr:colOff>914400</xdr:colOff>
                    <xdr:row>90</xdr:row>
                    <xdr:rowOff>203200</xdr:rowOff>
                  </to>
                </anchor>
              </controlPr>
            </control>
          </mc:Choice>
        </mc:AlternateContent>
        <mc:AlternateContent xmlns:mc="http://schemas.openxmlformats.org/markup-compatibility/2006">
          <mc:Choice Requires="x14">
            <control shapeId="106582" r:id="rId89" name="Option Button 86">
              <controlPr defaultSize="0" autoFill="0" autoLine="0" autoPict="0">
                <anchor moveWithCells="1">
                  <from>
                    <xdr:col>1</xdr:col>
                    <xdr:colOff>438150</xdr:colOff>
                    <xdr:row>91</xdr:row>
                    <xdr:rowOff>12700</xdr:rowOff>
                  </from>
                  <to>
                    <xdr:col>1</xdr:col>
                    <xdr:colOff>914400</xdr:colOff>
                    <xdr:row>91</xdr:row>
                    <xdr:rowOff>203200</xdr:rowOff>
                  </to>
                </anchor>
              </controlPr>
            </control>
          </mc:Choice>
        </mc:AlternateContent>
        <mc:AlternateContent xmlns:mc="http://schemas.openxmlformats.org/markup-compatibility/2006">
          <mc:Choice Requires="x14">
            <control shapeId="106583" r:id="rId90" name="Option Button 87">
              <controlPr defaultSize="0" autoFill="0" autoLine="0" autoPict="0">
                <anchor moveWithCells="1">
                  <from>
                    <xdr:col>1</xdr:col>
                    <xdr:colOff>438150</xdr:colOff>
                    <xdr:row>92</xdr:row>
                    <xdr:rowOff>12700</xdr:rowOff>
                  </from>
                  <to>
                    <xdr:col>1</xdr:col>
                    <xdr:colOff>914400</xdr:colOff>
                    <xdr:row>92</xdr:row>
                    <xdr:rowOff>203200</xdr:rowOff>
                  </to>
                </anchor>
              </controlPr>
            </control>
          </mc:Choice>
        </mc:AlternateContent>
        <mc:AlternateContent xmlns:mc="http://schemas.openxmlformats.org/markup-compatibility/2006">
          <mc:Choice Requires="x14">
            <control shapeId="106584" r:id="rId91" name="Option Button 88">
              <controlPr defaultSize="0" autoFill="0" autoLine="0" autoPict="0">
                <anchor moveWithCells="1">
                  <from>
                    <xdr:col>1</xdr:col>
                    <xdr:colOff>438150</xdr:colOff>
                    <xdr:row>93</xdr:row>
                    <xdr:rowOff>12700</xdr:rowOff>
                  </from>
                  <to>
                    <xdr:col>1</xdr:col>
                    <xdr:colOff>914400</xdr:colOff>
                    <xdr:row>93</xdr:row>
                    <xdr:rowOff>203200</xdr:rowOff>
                  </to>
                </anchor>
              </controlPr>
            </control>
          </mc:Choice>
        </mc:AlternateContent>
        <mc:AlternateContent xmlns:mc="http://schemas.openxmlformats.org/markup-compatibility/2006">
          <mc:Choice Requires="x14">
            <control shapeId="106585" r:id="rId92" name="Option Button 89">
              <controlPr defaultSize="0" autoFill="0" autoLine="0" autoPict="0">
                <anchor moveWithCells="1">
                  <from>
                    <xdr:col>1</xdr:col>
                    <xdr:colOff>438150</xdr:colOff>
                    <xdr:row>94</xdr:row>
                    <xdr:rowOff>12700</xdr:rowOff>
                  </from>
                  <to>
                    <xdr:col>1</xdr:col>
                    <xdr:colOff>914400</xdr:colOff>
                    <xdr:row>94</xdr:row>
                    <xdr:rowOff>203200</xdr:rowOff>
                  </to>
                </anchor>
              </controlPr>
            </control>
          </mc:Choice>
        </mc:AlternateContent>
        <mc:AlternateContent xmlns:mc="http://schemas.openxmlformats.org/markup-compatibility/2006">
          <mc:Choice Requires="x14">
            <control shapeId="106586" r:id="rId93" name="Option Button 90">
              <controlPr defaultSize="0" autoFill="0" autoLine="0" autoPict="0">
                <anchor moveWithCells="1">
                  <from>
                    <xdr:col>1</xdr:col>
                    <xdr:colOff>438150</xdr:colOff>
                    <xdr:row>95</xdr:row>
                    <xdr:rowOff>12700</xdr:rowOff>
                  </from>
                  <to>
                    <xdr:col>1</xdr:col>
                    <xdr:colOff>914400</xdr:colOff>
                    <xdr:row>95</xdr:row>
                    <xdr:rowOff>203200</xdr:rowOff>
                  </to>
                </anchor>
              </controlPr>
            </control>
          </mc:Choice>
        </mc:AlternateContent>
        <mc:AlternateContent xmlns:mc="http://schemas.openxmlformats.org/markup-compatibility/2006">
          <mc:Choice Requires="x14">
            <control shapeId="106587" r:id="rId94" name="Option Button 91">
              <controlPr defaultSize="0" autoFill="0" autoLine="0" autoPict="0">
                <anchor moveWithCells="1">
                  <from>
                    <xdr:col>1</xdr:col>
                    <xdr:colOff>438150</xdr:colOff>
                    <xdr:row>96</xdr:row>
                    <xdr:rowOff>12700</xdr:rowOff>
                  </from>
                  <to>
                    <xdr:col>1</xdr:col>
                    <xdr:colOff>914400</xdr:colOff>
                    <xdr:row>96</xdr:row>
                    <xdr:rowOff>203200</xdr:rowOff>
                  </to>
                </anchor>
              </controlPr>
            </control>
          </mc:Choice>
        </mc:AlternateContent>
        <mc:AlternateContent xmlns:mc="http://schemas.openxmlformats.org/markup-compatibility/2006">
          <mc:Choice Requires="x14">
            <control shapeId="106588" r:id="rId95" name="Option Button 92">
              <controlPr defaultSize="0" autoFill="0" autoLine="0" autoPict="0">
                <anchor moveWithCells="1">
                  <from>
                    <xdr:col>1</xdr:col>
                    <xdr:colOff>438150</xdr:colOff>
                    <xdr:row>97</xdr:row>
                    <xdr:rowOff>12700</xdr:rowOff>
                  </from>
                  <to>
                    <xdr:col>1</xdr:col>
                    <xdr:colOff>914400</xdr:colOff>
                    <xdr:row>97</xdr:row>
                    <xdr:rowOff>203200</xdr:rowOff>
                  </to>
                </anchor>
              </controlPr>
            </control>
          </mc:Choice>
        </mc:AlternateContent>
        <mc:AlternateContent xmlns:mc="http://schemas.openxmlformats.org/markup-compatibility/2006">
          <mc:Choice Requires="x14">
            <control shapeId="106589" r:id="rId96" name="Option Button 93">
              <controlPr defaultSize="0" autoFill="0" autoLine="0" autoPict="0">
                <anchor moveWithCells="1">
                  <from>
                    <xdr:col>1</xdr:col>
                    <xdr:colOff>438150</xdr:colOff>
                    <xdr:row>98</xdr:row>
                    <xdr:rowOff>12700</xdr:rowOff>
                  </from>
                  <to>
                    <xdr:col>1</xdr:col>
                    <xdr:colOff>914400</xdr:colOff>
                    <xdr:row>98</xdr:row>
                    <xdr:rowOff>203200</xdr:rowOff>
                  </to>
                </anchor>
              </controlPr>
            </control>
          </mc:Choice>
        </mc:AlternateContent>
        <mc:AlternateContent xmlns:mc="http://schemas.openxmlformats.org/markup-compatibility/2006">
          <mc:Choice Requires="x14">
            <control shapeId="106590" r:id="rId97" name="Option Button 94">
              <controlPr defaultSize="0" autoFill="0" autoLine="0" autoPict="0">
                <anchor moveWithCells="1">
                  <from>
                    <xdr:col>1</xdr:col>
                    <xdr:colOff>438150</xdr:colOff>
                    <xdr:row>99</xdr:row>
                    <xdr:rowOff>12700</xdr:rowOff>
                  </from>
                  <to>
                    <xdr:col>1</xdr:col>
                    <xdr:colOff>914400</xdr:colOff>
                    <xdr:row>99</xdr:row>
                    <xdr:rowOff>203200</xdr:rowOff>
                  </to>
                </anchor>
              </controlPr>
            </control>
          </mc:Choice>
        </mc:AlternateContent>
        <mc:AlternateContent xmlns:mc="http://schemas.openxmlformats.org/markup-compatibility/2006">
          <mc:Choice Requires="x14">
            <control shapeId="106591" r:id="rId98" name="Option Button 95">
              <controlPr defaultSize="0" autoFill="0" autoLine="0" autoPict="0">
                <anchor moveWithCells="1">
                  <from>
                    <xdr:col>1</xdr:col>
                    <xdr:colOff>438150</xdr:colOff>
                    <xdr:row>100</xdr:row>
                    <xdr:rowOff>12700</xdr:rowOff>
                  </from>
                  <to>
                    <xdr:col>1</xdr:col>
                    <xdr:colOff>914400</xdr:colOff>
                    <xdr:row>100</xdr:row>
                    <xdr:rowOff>203200</xdr:rowOff>
                  </to>
                </anchor>
              </controlPr>
            </control>
          </mc:Choice>
        </mc:AlternateContent>
        <mc:AlternateContent xmlns:mc="http://schemas.openxmlformats.org/markup-compatibility/2006">
          <mc:Choice Requires="x14">
            <control shapeId="106592" r:id="rId99" name="Option Button 96">
              <controlPr defaultSize="0" autoFill="0" autoLine="0" autoPict="0">
                <anchor moveWithCells="1">
                  <from>
                    <xdr:col>1</xdr:col>
                    <xdr:colOff>438150</xdr:colOff>
                    <xdr:row>101</xdr:row>
                    <xdr:rowOff>12700</xdr:rowOff>
                  </from>
                  <to>
                    <xdr:col>1</xdr:col>
                    <xdr:colOff>914400</xdr:colOff>
                    <xdr:row>101</xdr:row>
                    <xdr:rowOff>203200</xdr:rowOff>
                  </to>
                </anchor>
              </controlPr>
            </control>
          </mc:Choice>
        </mc:AlternateContent>
        <mc:AlternateContent xmlns:mc="http://schemas.openxmlformats.org/markup-compatibility/2006">
          <mc:Choice Requires="x14">
            <control shapeId="106593" r:id="rId100" name="Option Button 97">
              <controlPr defaultSize="0" autoFill="0" autoLine="0" autoPict="0">
                <anchor moveWithCells="1">
                  <from>
                    <xdr:col>1</xdr:col>
                    <xdr:colOff>438150</xdr:colOff>
                    <xdr:row>102</xdr:row>
                    <xdr:rowOff>12700</xdr:rowOff>
                  </from>
                  <to>
                    <xdr:col>1</xdr:col>
                    <xdr:colOff>914400</xdr:colOff>
                    <xdr:row>102</xdr:row>
                    <xdr:rowOff>203200</xdr:rowOff>
                  </to>
                </anchor>
              </controlPr>
            </control>
          </mc:Choice>
        </mc:AlternateContent>
        <mc:AlternateContent xmlns:mc="http://schemas.openxmlformats.org/markup-compatibility/2006">
          <mc:Choice Requires="x14">
            <control shapeId="106594" r:id="rId101" name="Option Button 98">
              <controlPr defaultSize="0" autoFill="0" autoLine="0" autoPict="0">
                <anchor moveWithCells="1">
                  <from>
                    <xdr:col>1</xdr:col>
                    <xdr:colOff>438150</xdr:colOff>
                    <xdr:row>103</xdr:row>
                    <xdr:rowOff>12700</xdr:rowOff>
                  </from>
                  <to>
                    <xdr:col>1</xdr:col>
                    <xdr:colOff>914400</xdr:colOff>
                    <xdr:row>103</xdr:row>
                    <xdr:rowOff>203200</xdr:rowOff>
                  </to>
                </anchor>
              </controlPr>
            </control>
          </mc:Choice>
        </mc:AlternateContent>
        <mc:AlternateContent xmlns:mc="http://schemas.openxmlformats.org/markup-compatibility/2006">
          <mc:Choice Requires="x14">
            <control shapeId="106595" r:id="rId102" name="Option Button 99">
              <controlPr defaultSize="0" autoFill="0" autoLine="0" autoPict="0">
                <anchor moveWithCells="1">
                  <from>
                    <xdr:col>1</xdr:col>
                    <xdr:colOff>438150</xdr:colOff>
                    <xdr:row>104</xdr:row>
                    <xdr:rowOff>12700</xdr:rowOff>
                  </from>
                  <to>
                    <xdr:col>1</xdr:col>
                    <xdr:colOff>914400</xdr:colOff>
                    <xdr:row>104</xdr:row>
                    <xdr:rowOff>203200</xdr:rowOff>
                  </to>
                </anchor>
              </controlPr>
            </control>
          </mc:Choice>
        </mc:AlternateContent>
        <mc:AlternateContent xmlns:mc="http://schemas.openxmlformats.org/markup-compatibility/2006">
          <mc:Choice Requires="x14">
            <control shapeId="106596" r:id="rId103" name="Option Button 100">
              <controlPr defaultSize="0" autoFill="0" autoLine="0" autoPict="0">
                <anchor moveWithCells="1">
                  <from>
                    <xdr:col>1</xdr:col>
                    <xdr:colOff>438150</xdr:colOff>
                    <xdr:row>105</xdr:row>
                    <xdr:rowOff>12700</xdr:rowOff>
                  </from>
                  <to>
                    <xdr:col>1</xdr:col>
                    <xdr:colOff>914400</xdr:colOff>
                    <xdr:row>105</xdr:row>
                    <xdr:rowOff>203200</xdr:rowOff>
                  </to>
                </anchor>
              </controlPr>
            </control>
          </mc:Choice>
        </mc:AlternateContent>
        <mc:AlternateContent xmlns:mc="http://schemas.openxmlformats.org/markup-compatibility/2006">
          <mc:Choice Requires="x14">
            <control shapeId="106597" r:id="rId104" name="Option Button 101">
              <controlPr defaultSize="0" autoFill="0" autoLine="0" autoPict="0">
                <anchor moveWithCells="1">
                  <from>
                    <xdr:col>1</xdr:col>
                    <xdr:colOff>438150</xdr:colOff>
                    <xdr:row>106</xdr:row>
                    <xdr:rowOff>12700</xdr:rowOff>
                  </from>
                  <to>
                    <xdr:col>1</xdr:col>
                    <xdr:colOff>914400</xdr:colOff>
                    <xdr:row>106</xdr:row>
                    <xdr:rowOff>203200</xdr:rowOff>
                  </to>
                </anchor>
              </controlPr>
            </control>
          </mc:Choice>
        </mc:AlternateContent>
        <mc:AlternateContent xmlns:mc="http://schemas.openxmlformats.org/markup-compatibility/2006">
          <mc:Choice Requires="x14">
            <control shapeId="106598" r:id="rId105" name="Option Button 102">
              <controlPr defaultSize="0" autoFill="0" autoLine="0" autoPict="0">
                <anchor moveWithCells="1">
                  <from>
                    <xdr:col>1</xdr:col>
                    <xdr:colOff>438150</xdr:colOff>
                    <xdr:row>107</xdr:row>
                    <xdr:rowOff>12700</xdr:rowOff>
                  </from>
                  <to>
                    <xdr:col>1</xdr:col>
                    <xdr:colOff>914400</xdr:colOff>
                    <xdr:row>107</xdr:row>
                    <xdr:rowOff>203200</xdr:rowOff>
                  </to>
                </anchor>
              </controlPr>
            </control>
          </mc:Choice>
        </mc:AlternateContent>
        <mc:AlternateContent xmlns:mc="http://schemas.openxmlformats.org/markup-compatibility/2006">
          <mc:Choice Requires="x14">
            <control shapeId="106599" r:id="rId106" name="Option Button 103">
              <controlPr defaultSize="0" autoFill="0" autoLine="0" autoPict="0">
                <anchor moveWithCells="1">
                  <from>
                    <xdr:col>1</xdr:col>
                    <xdr:colOff>438150</xdr:colOff>
                    <xdr:row>108</xdr:row>
                    <xdr:rowOff>12700</xdr:rowOff>
                  </from>
                  <to>
                    <xdr:col>1</xdr:col>
                    <xdr:colOff>914400</xdr:colOff>
                    <xdr:row>108</xdr:row>
                    <xdr:rowOff>203200</xdr:rowOff>
                  </to>
                </anchor>
              </controlPr>
            </control>
          </mc:Choice>
        </mc:AlternateContent>
        <mc:AlternateContent xmlns:mc="http://schemas.openxmlformats.org/markup-compatibility/2006">
          <mc:Choice Requires="x14">
            <control shapeId="106600" r:id="rId107" name="Option Button 104">
              <controlPr defaultSize="0" autoFill="0" autoLine="0" autoPict="0">
                <anchor moveWithCells="1">
                  <from>
                    <xdr:col>1</xdr:col>
                    <xdr:colOff>438150</xdr:colOff>
                    <xdr:row>109</xdr:row>
                    <xdr:rowOff>12700</xdr:rowOff>
                  </from>
                  <to>
                    <xdr:col>1</xdr:col>
                    <xdr:colOff>914400</xdr:colOff>
                    <xdr:row>109</xdr:row>
                    <xdr:rowOff>203200</xdr:rowOff>
                  </to>
                </anchor>
              </controlPr>
            </control>
          </mc:Choice>
        </mc:AlternateContent>
        <mc:AlternateContent xmlns:mc="http://schemas.openxmlformats.org/markup-compatibility/2006">
          <mc:Choice Requires="x14">
            <control shapeId="106601" r:id="rId108" name="Option Button 105">
              <controlPr defaultSize="0" autoFill="0" autoLine="0" autoPict="0">
                <anchor moveWithCells="1">
                  <from>
                    <xdr:col>1</xdr:col>
                    <xdr:colOff>438150</xdr:colOff>
                    <xdr:row>110</xdr:row>
                    <xdr:rowOff>12700</xdr:rowOff>
                  </from>
                  <to>
                    <xdr:col>1</xdr:col>
                    <xdr:colOff>914400</xdr:colOff>
                    <xdr:row>110</xdr:row>
                    <xdr:rowOff>203200</xdr:rowOff>
                  </to>
                </anchor>
              </controlPr>
            </control>
          </mc:Choice>
        </mc:AlternateContent>
        <mc:AlternateContent xmlns:mc="http://schemas.openxmlformats.org/markup-compatibility/2006">
          <mc:Choice Requires="x14">
            <control shapeId="106602" r:id="rId109" name="Option Button 106">
              <controlPr defaultSize="0" autoFill="0" autoLine="0" autoPict="0">
                <anchor moveWithCells="1">
                  <from>
                    <xdr:col>1</xdr:col>
                    <xdr:colOff>438150</xdr:colOff>
                    <xdr:row>111</xdr:row>
                    <xdr:rowOff>12700</xdr:rowOff>
                  </from>
                  <to>
                    <xdr:col>1</xdr:col>
                    <xdr:colOff>914400</xdr:colOff>
                    <xdr:row>111</xdr:row>
                    <xdr:rowOff>203200</xdr:rowOff>
                  </to>
                </anchor>
              </controlPr>
            </control>
          </mc:Choice>
        </mc:AlternateContent>
        <mc:AlternateContent xmlns:mc="http://schemas.openxmlformats.org/markup-compatibility/2006">
          <mc:Choice Requires="x14">
            <control shapeId="106603" r:id="rId110" name="Option Button 107">
              <controlPr defaultSize="0" autoFill="0" autoLine="0" autoPict="0">
                <anchor moveWithCells="1">
                  <from>
                    <xdr:col>1</xdr:col>
                    <xdr:colOff>438150</xdr:colOff>
                    <xdr:row>112</xdr:row>
                    <xdr:rowOff>12700</xdr:rowOff>
                  </from>
                  <to>
                    <xdr:col>1</xdr:col>
                    <xdr:colOff>914400</xdr:colOff>
                    <xdr:row>112</xdr:row>
                    <xdr:rowOff>203200</xdr:rowOff>
                  </to>
                </anchor>
              </controlPr>
            </control>
          </mc:Choice>
        </mc:AlternateContent>
        <mc:AlternateContent xmlns:mc="http://schemas.openxmlformats.org/markup-compatibility/2006">
          <mc:Choice Requires="x14">
            <control shapeId="106604" r:id="rId111" name="Option Button 108">
              <controlPr defaultSize="0" autoFill="0" autoLine="0" autoPict="0">
                <anchor moveWithCells="1">
                  <from>
                    <xdr:col>1</xdr:col>
                    <xdr:colOff>438150</xdr:colOff>
                    <xdr:row>113</xdr:row>
                    <xdr:rowOff>12700</xdr:rowOff>
                  </from>
                  <to>
                    <xdr:col>1</xdr:col>
                    <xdr:colOff>914400</xdr:colOff>
                    <xdr:row>113</xdr:row>
                    <xdr:rowOff>203200</xdr:rowOff>
                  </to>
                </anchor>
              </controlPr>
            </control>
          </mc:Choice>
        </mc:AlternateContent>
        <mc:AlternateContent xmlns:mc="http://schemas.openxmlformats.org/markup-compatibility/2006">
          <mc:Choice Requires="x14">
            <control shapeId="106605" r:id="rId112" name="Option Button 109">
              <controlPr defaultSize="0" autoFill="0" autoLine="0" autoPict="0">
                <anchor moveWithCells="1">
                  <from>
                    <xdr:col>1</xdr:col>
                    <xdr:colOff>438150</xdr:colOff>
                    <xdr:row>114</xdr:row>
                    <xdr:rowOff>12700</xdr:rowOff>
                  </from>
                  <to>
                    <xdr:col>1</xdr:col>
                    <xdr:colOff>914400</xdr:colOff>
                    <xdr:row>114</xdr:row>
                    <xdr:rowOff>203200</xdr:rowOff>
                  </to>
                </anchor>
              </controlPr>
            </control>
          </mc:Choice>
        </mc:AlternateContent>
        <mc:AlternateContent xmlns:mc="http://schemas.openxmlformats.org/markup-compatibility/2006">
          <mc:Choice Requires="x14">
            <control shapeId="106606" r:id="rId113" name="Option Button 110">
              <controlPr defaultSize="0" autoFill="0" autoLine="0" autoPict="0">
                <anchor moveWithCells="1">
                  <from>
                    <xdr:col>1</xdr:col>
                    <xdr:colOff>438150</xdr:colOff>
                    <xdr:row>115</xdr:row>
                    <xdr:rowOff>12700</xdr:rowOff>
                  </from>
                  <to>
                    <xdr:col>1</xdr:col>
                    <xdr:colOff>914400</xdr:colOff>
                    <xdr:row>115</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M50"/>
  <sheetViews>
    <sheetView showGridLines="0" zoomScaleNormal="100" workbookViewId="0">
      <selection sqref="A1:F1"/>
    </sheetView>
  </sheetViews>
  <sheetFormatPr defaultRowHeight="13"/>
  <cols>
    <col min="1" max="3" width="15.08984375" style="445" customWidth="1"/>
    <col min="4" max="4" width="35.26953125" style="445" customWidth="1"/>
    <col min="5" max="6" width="19.6328125" style="439" customWidth="1"/>
    <col min="7" max="7" width="9" style="439"/>
    <col min="8" max="8" width="9" style="441" customWidth="1"/>
    <col min="9" max="9" width="9" style="441"/>
    <col min="10" max="10" width="0" style="441" hidden="1" customWidth="1"/>
    <col min="11" max="13" width="9" style="441"/>
    <col min="14" max="256" width="9" style="439"/>
    <col min="257" max="259" width="15.08984375" style="439" customWidth="1"/>
    <col min="260" max="260" width="35.26953125" style="439" customWidth="1"/>
    <col min="261" max="262" width="19.6328125" style="439" customWidth="1"/>
    <col min="263" max="263" width="9" style="439"/>
    <col min="264" max="264" width="29.08984375" style="439" bestFit="1" customWidth="1"/>
    <col min="265" max="512" width="9" style="439"/>
    <col min="513" max="515" width="15.08984375" style="439" customWidth="1"/>
    <col min="516" max="516" width="35.26953125" style="439" customWidth="1"/>
    <col min="517" max="518" width="19.6328125" style="439" customWidth="1"/>
    <col min="519" max="519" width="9" style="439"/>
    <col min="520" max="520" width="29.08984375" style="439" bestFit="1" customWidth="1"/>
    <col min="521" max="768" width="9" style="439"/>
    <col min="769" max="771" width="15.08984375" style="439" customWidth="1"/>
    <col min="772" max="772" width="35.26953125" style="439" customWidth="1"/>
    <col min="773" max="774" width="19.6328125" style="439" customWidth="1"/>
    <col min="775" max="775" width="9" style="439"/>
    <col min="776" max="776" width="29.08984375" style="439" bestFit="1" customWidth="1"/>
    <col min="777" max="1024" width="9" style="439"/>
    <col min="1025" max="1027" width="15.08984375" style="439" customWidth="1"/>
    <col min="1028" max="1028" width="35.26953125" style="439" customWidth="1"/>
    <col min="1029" max="1030" width="19.6328125" style="439" customWidth="1"/>
    <col min="1031" max="1031" width="9" style="439"/>
    <col min="1032" max="1032" width="29.08984375" style="439" bestFit="1" customWidth="1"/>
    <col min="1033" max="1280" width="9" style="439"/>
    <col min="1281" max="1283" width="15.08984375" style="439" customWidth="1"/>
    <col min="1284" max="1284" width="35.26953125" style="439" customWidth="1"/>
    <col min="1285" max="1286" width="19.6328125" style="439" customWidth="1"/>
    <col min="1287" max="1287" width="9" style="439"/>
    <col min="1288" max="1288" width="29.08984375" style="439" bestFit="1" customWidth="1"/>
    <col min="1289" max="1536" width="9" style="439"/>
    <col min="1537" max="1539" width="15.08984375" style="439" customWidth="1"/>
    <col min="1540" max="1540" width="35.26953125" style="439" customWidth="1"/>
    <col min="1541" max="1542" width="19.6328125" style="439" customWidth="1"/>
    <col min="1543" max="1543" width="9" style="439"/>
    <col min="1544" max="1544" width="29.08984375" style="439" bestFit="1" customWidth="1"/>
    <col min="1545" max="1792" width="9" style="439"/>
    <col min="1793" max="1795" width="15.08984375" style="439" customWidth="1"/>
    <col min="1796" max="1796" width="35.26953125" style="439" customWidth="1"/>
    <col min="1797" max="1798" width="19.6328125" style="439" customWidth="1"/>
    <col min="1799" max="1799" width="9" style="439"/>
    <col min="1800" max="1800" width="29.08984375" style="439" bestFit="1" customWidth="1"/>
    <col min="1801" max="2048" width="9" style="439"/>
    <col min="2049" max="2051" width="15.08984375" style="439" customWidth="1"/>
    <col min="2052" max="2052" width="35.26953125" style="439" customWidth="1"/>
    <col min="2053" max="2054" width="19.6328125" style="439" customWidth="1"/>
    <col min="2055" max="2055" width="9" style="439"/>
    <col min="2056" max="2056" width="29.08984375" style="439" bestFit="1" customWidth="1"/>
    <col min="2057" max="2304" width="9" style="439"/>
    <col min="2305" max="2307" width="15.08984375" style="439" customWidth="1"/>
    <col min="2308" max="2308" width="35.26953125" style="439" customWidth="1"/>
    <col min="2309" max="2310" width="19.6328125" style="439" customWidth="1"/>
    <col min="2311" max="2311" width="9" style="439"/>
    <col min="2312" max="2312" width="29.08984375" style="439" bestFit="1" customWidth="1"/>
    <col min="2313" max="2560" width="9" style="439"/>
    <col min="2561" max="2563" width="15.08984375" style="439" customWidth="1"/>
    <col min="2564" max="2564" width="35.26953125" style="439" customWidth="1"/>
    <col min="2565" max="2566" width="19.6328125" style="439" customWidth="1"/>
    <col min="2567" max="2567" width="9" style="439"/>
    <col min="2568" max="2568" width="29.08984375" style="439" bestFit="1" customWidth="1"/>
    <col min="2569" max="2816" width="9" style="439"/>
    <col min="2817" max="2819" width="15.08984375" style="439" customWidth="1"/>
    <col min="2820" max="2820" width="35.26953125" style="439" customWidth="1"/>
    <col min="2821" max="2822" width="19.6328125" style="439" customWidth="1"/>
    <col min="2823" max="2823" width="9" style="439"/>
    <col min="2824" max="2824" width="29.08984375" style="439" bestFit="1" customWidth="1"/>
    <col min="2825" max="3072" width="9" style="439"/>
    <col min="3073" max="3075" width="15.08984375" style="439" customWidth="1"/>
    <col min="3076" max="3076" width="35.26953125" style="439" customWidth="1"/>
    <col min="3077" max="3078" width="19.6328125" style="439" customWidth="1"/>
    <col min="3079" max="3079" width="9" style="439"/>
    <col min="3080" max="3080" width="29.08984375" style="439" bestFit="1" customWidth="1"/>
    <col min="3081" max="3328" width="9" style="439"/>
    <col min="3329" max="3331" width="15.08984375" style="439" customWidth="1"/>
    <col min="3332" max="3332" width="35.26953125" style="439" customWidth="1"/>
    <col min="3333" max="3334" width="19.6328125" style="439" customWidth="1"/>
    <col min="3335" max="3335" width="9" style="439"/>
    <col min="3336" max="3336" width="29.08984375" style="439" bestFit="1" customWidth="1"/>
    <col min="3337" max="3584" width="9" style="439"/>
    <col min="3585" max="3587" width="15.08984375" style="439" customWidth="1"/>
    <col min="3588" max="3588" width="35.26953125" style="439" customWidth="1"/>
    <col min="3589" max="3590" width="19.6328125" style="439" customWidth="1"/>
    <col min="3591" max="3591" width="9" style="439"/>
    <col min="3592" max="3592" width="29.08984375" style="439" bestFit="1" customWidth="1"/>
    <col min="3593" max="3840" width="9" style="439"/>
    <col min="3841" max="3843" width="15.08984375" style="439" customWidth="1"/>
    <col min="3844" max="3844" width="35.26953125" style="439" customWidth="1"/>
    <col min="3845" max="3846" width="19.6328125" style="439" customWidth="1"/>
    <col min="3847" max="3847" width="9" style="439"/>
    <col min="3848" max="3848" width="29.08984375" style="439" bestFit="1" customWidth="1"/>
    <col min="3849" max="4096" width="9" style="439"/>
    <col min="4097" max="4099" width="15.08984375" style="439" customWidth="1"/>
    <col min="4100" max="4100" width="35.26953125" style="439" customWidth="1"/>
    <col min="4101" max="4102" width="19.6328125" style="439" customWidth="1"/>
    <col min="4103" max="4103" width="9" style="439"/>
    <col min="4104" max="4104" width="29.08984375" style="439" bestFit="1" customWidth="1"/>
    <col min="4105" max="4352" width="9" style="439"/>
    <col min="4353" max="4355" width="15.08984375" style="439" customWidth="1"/>
    <col min="4356" max="4356" width="35.26953125" style="439" customWidth="1"/>
    <col min="4357" max="4358" width="19.6328125" style="439" customWidth="1"/>
    <col min="4359" max="4359" width="9" style="439"/>
    <col min="4360" max="4360" width="29.08984375" style="439" bestFit="1" customWidth="1"/>
    <col min="4361" max="4608" width="9" style="439"/>
    <col min="4609" max="4611" width="15.08984375" style="439" customWidth="1"/>
    <col min="4612" max="4612" width="35.26953125" style="439" customWidth="1"/>
    <col min="4613" max="4614" width="19.6328125" style="439" customWidth="1"/>
    <col min="4615" max="4615" width="9" style="439"/>
    <col min="4616" max="4616" width="29.08984375" style="439" bestFit="1" customWidth="1"/>
    <col min="4617" max="4864" width="9" style="439"/>
    <col min="4865" max="4867" width="15.08984375" style="439" customWidth="1"/>
    <col min="4868" max="4868" width="35.26953125" style="439" customWidth="1"/>
    <col min="4869" max="4870" width="19.6328125" style="439" customWidth="1"/>
    <col min="4871" max="4871" width="9" style="439"/>
    <col min="4872" max="4872" width="29.08984375" style="439" bestFit="1" customWidth="1"/>
    <col min="4873" max="5120" width="9" style="439"/>
    <col min="5121" max="5123" width="15.08984375" style="439" customWidth="1"/>
    <col min="5124" max="5124" width="35.26953125" style="439" customWidth="1"/>
    <col min="5125" max="5126" width="19.6328125" style="439" customWidth="1"/>
    <col min="5127" max="5127" width="9" style="439"/>
    <col min="5128" max="5128" width="29.08984375" style="439" bestFit="1" customWidth="1"/>
    <col min="5129" max="5376" width="9" style="439"/>
    <col min="5377" max="5379" width="15.08984375" style="439" customWidth="1"/>
    <col min="5380" max="5380" width="35.26953125" style="439" customWidth="1"/>
    <col min="5381" max="5382" width="19.6328125" style="439" customWidth="1"/>
    <col min="5383" max="5383" width="9" style="439"/>
    <col min="5384" max="5384" width="29.08984375" style="439" bestFit="1" customWidth="1"/>
    <col min="5385" max="5632" width="9" style="439"/>
    <col min="5633" max="5635" width="15.08984375" style="439" customWidth="1"/>
    <col min="5636" max="5636" width="35.26953125" style="439" customWidth="1"/>
    <col min="5637" max="5638" width="19.6328125" style="439" customWidth="1"/>
    <col min="5639" max="5639" width="9" style="439"/>
    <col min="5640" max="5640" width="29.08984375" style="439" bestFit="1" customWidth="1"/>
    <col min="5641" max="5888" width="9" style="439"/>
    <col min="5889" max="5891" width="15.08984375" style="439" customWidth="1"/>
    <col min="5892" max="5892" width="35.26953125" style="439" customWidth="1"/>
    <col min="5893" max="5894" width="19.6328125" style="439" customWidth="1"/>
    <col min="5895" max="5895" width="9" style="439"/>
    <col min="5896" max="5896" width="29.08984375" style="439" bestFit="1" customWidth="1"/>
    <col min="5897" max="6144" width="9" style="439"/>
    <col min="6145" max="6147" width="15.08984375" style="439" customWidth="1"/>
    <col min="6148" max="6148" width="35.26953125" style="439" customWidth="1"/>
    <col min="6149" max="6150" width="19.6328125" style="439" customWidth="1"/>
    <col min="6151" max="6151" width="9" style="439"/>
    <col min="6152" max="6152" width="29.08984375" style="439" bestFit="1" customWidth="1"/>
    <col min="6153" max="6400" width="9" style="439"/>
    <col min="6401" max="6403" width="15.08984375" style="439" customWidth="1"/>
    <col min="6404" max="6404" width="35.26953125" style="439" customWidth="1"/>
    <col min="6405" max="6406" width="19.6328125" style="439" customWidth="1"/>
    <col min="6407" max="6407" width="9" style="439"/>
    <col min="6408" max="6408" width="29.08984375" style="439" bestFit="1" customWidth="1"/>
    <col min="6409" max="6656" width="9" style="439"/>
    <col min="6657" max="6659" width="15.08984375" style="439" customWidth="1"/>
    <col min="6660" max="6660" width="35.26953125" style="439" customWidth="1"/>
    <col min="6661" max="6662" width="19.6328125" style="439" customWidth="1"/>
    <col min="6663" max="6663" width="9" style="439"/>
    <col min="6664" max="6664" width="29.08984375" style="439" bestFit="1" customWidth="1"/>
    <col min="6665" max="6912" width="9" style="439"/>
    <col min="6913" max="6915" width="15.08984375" style="439" customWidth="1"/>
    <col min="6916" max="6916" width="35.26953125" style="439" customWidth="1"/>
    <col min="6917" max="6918" width="19.6328125" style="439" customWidth="1"/>
    <col min="6919" max="6919" width="9" style="439"/>
    <col min="6920" max="6920" width="29.08984375" style="439" bestFit="1" customWidth="1"/>
    <col min="6921" max="7168" width="9" style="439"/>
    <col min="7169" max="7171" width="15.08984375" style="439" customWidth="1"/>
    <col min="7172" max="7172" width="35.26953125" style="439" customWidth="1"/>
    <col min="7173" max="7174" width="19.6328125" style="439" customWidth="1"/>
    <col min="7175" max="7175" width="9" style="439"/>
    <col min="7176" max="7176" width="29.08984375" style="439" bestFit="1" customWidth="1"/>
    <col min="7177" max="7424" width="9" style="439"/>
    <col min="7425" max="7427" width="15.08984375" style="439" customWidth="1"/>
    <col min="7428" max="7428" width="35.26953125" style="439" customWidth="1"/>
    <col min="7429" max="7430" width="19.6328125" style="439" customWidth="1"/>
    <col min="7431" max="7431" width="9" style="439"/>
    <col min="7432" max="7432" width="29.08984375" style="439" bestFit="1" customWidth="1"/>
    <col min="7433" max="7680" width="9" style="439"/>
    <col min="7681" max="7683" width="15.08984375" style="439" customWidth="1"/>
    <col min="7684" max="7684" width="35.26953125" style="439" customWidth="1"/>
    <col min="7685" max="7686" width="19.6328125" style="439" customWidth="1"/>
    <col min="7687" max="7687" width="9" style="439"/>
    <col min="7688" max="7688" width="29.08984375" style="439" bestFit="1" customWidth="1"/>
    <col min="7689" max="7936" width="9" style="439"/>
    <col min="7937" max="7939" width="15.08984375" style="439" customWidth="1"/>
    <col min="7940" max="7940" width="35.26953125" style="439" customWidth="1"/>
    <col min="7941" max="7942" width="19.6328125" style="439" customWidth="1"/>
    <col min="7943" max="7943" width="9" style="439"/>
    <col min="7944" max="7944" width="29.08984375" style="439" bestFit="1" customWidth="1"/>
    <col min="7945" max="8192" width="9" style="439"/>
    <col min="8193" max="8195" width="15.08984375" style="439" customWidth="1"/>
    <col min="8196" max="8196" width="35.26953125" style="439" customWidth="1"/>
    <col min="8197" max="8198" width="19.6328125" style="439" customWidth="1"/>
    <col min="8199" max="8199" width="9" style="439"/>
    <col min="8200" max="8200" width="29.08984375" style="439" bestFit="1" customWidth="1"/>
    <col min="8201" max="8448" width="9" style="439"/>
    <col min="8449" max="8451" width="15.08984375" style="439" customWidth="1"/>
    <col min="8452" max="8452" width="35.26953125" style="439" customWidth="1"/>
    <col min="8453" max="8454" width="19.6328125" style="439" customWidth="1"/>
    <col min="8455" max="8455" width="9" style="439"/>
    <col min="8456" max="8456" width="29.08984375" style="439" bestFit="1" customWidth="1"/>
    <col min="8457" max="8704" width="9" style="439"/>
    <col min="8705" max="8707" width="15.08984375" style="439" customWidth="1"/>
    <col min="8708" max="8708" width="35.26953125" style="439" customWidth="1"/>
    <col min="8709" max="8710" width="19.6328125" style="439" customWidth="1"/>
    <col min="8711" max="8711" width="9" style="439"/>
    <col min="8712" max="8712" width="29.08984375" style="439" bestFit="1" customWidth="1"/>
    <col min="8713" max="8960" width="9" style="439"/>
    <col min="8961" max="8963" width="15.08984375" style="439" customWidth="1"/>
    <col min="8964" max="8964" width="35.26953125" style="439" customWidth="1"/>
    <col min="8965" max="8966" width="19.6328125" style="439" customWidth="1"/>
    <col min="8967" max="8967" width="9" style="439"/>
    <col min="8968" max="8968" width="29.08984375" style="439" bestFit="1" customWidth="1"/>
    <col min="8969" max="9216" width="9" style="439"/>
    <col min="9217" max="9219" width="15.08984375" style="439" customWidth="1"/>
    <col min="9220" max="9220" width="35.26953125" style="439" customWidth="1"/>
    <col min="9221" max="9222" width="19.6328125" style="439" customWidth="1"/>
    <col min="9223" max="9223" width="9" style="439"/>
    <col min="9224" max="9224" width="29.08984375" style="439" bestFit="1" customWidth="1"/>
    <col min="9225" max="9472" width="9" style="439"/>
    <col min="9473" max="9475" width="15.08984375" style="439" customWidth="1"/>
    <col min="9476" max="9476" width="35.26953125" style="439" customWidth="1"/>
    <col min="9477" max="9478" width="19.6328125" style="439" customWidth="1"/>
    <col min="9479" max="9479" width="9" style="439"/>
    <col min="9480" max="9480" width="29.08984375" style="439" bestFit="1" customWidth="1"/>
    <col min="9481" max="9728" width="9" style="439"/>
    <col min="9729" max="9731" width="15.08984375" style="439" customWidth="1"/>
    <col min="9732" max="9732" width="35.26953125" style="439" customWidth="1"/>
    <col min="9733" max="9734" width="19.6328125" style="439" customWidth="1"/>
    <col min="9735" max="9735" width="9" style="439"/>
    <col min="9736" max="9736" width="29.08984375" style="439" bestFit="1" customWidth="1"/>
    <col min="9737" max="9984" width="9" style="439"/>
    <col min="9985" max="9987" width="15.08984375" style="439" customWidth="1"/>
    <col min="9988" max="9988" width="35.26953125" style="439" customWidth="1"/>
    <col min="9989" max="9990" width="19.6328125" style="439" customWidth="1"/>
    <col min="9991" max="9991" width="9" style="439"/>
    <col min="9992" max="9992" width="29.08984375" style="439" bestFit="1" customWidth="1"/>
    <col min="9993" max="10240" width="9" style="439"/>
    <col min="10241" max="10243" width="15.08984375" style="439" customWidth="1"/>
    <col min="10244" max="10244" width="35.26953125" style="439" customWidth="1"/>
    <col min="10245" max="10246" width="19.6328125" style="439" customWidth="1"/>
    <col min="10247" max="10247" width="9" style="439"/>
    <col min="10248" max="10248" width="29.08984375" style="439" bestFit="1" customWidth="1"/>
    <col min="10249" max="10496" width="9" style="439"/>
    <col min="10497" max="10499" width="15.08984375" style="439" customWidth="1"/>
    <col min="10500" max="10500" width="35.26953125" style="439" customWidth="1"/>
    <col min="10501" max="10502" width="19.6328125" style="439" customWidth="1"/>
    <col min="10503" max="10503" width="9" style="439"/>
    <col min="10504" max="10504" width="29.08984375" style="439" bestFit="1" customWidth="1"/>
    <col min="10505" max="10752" width="9" style="439"/>
    <col min="10753" max="10755" width="15.08984375" style="439" customWidth="1"/>
    <col min="10756" max="10756" width="35.26953125" style="439" customWidth="1"/>
    <col min="10757" max="10758" width="19.6328125" style="439" customWidth="1"/>
    <col min="10759" max="10759" width="9" style="439"/>
    <col min="10760" max="10760" width="29.08984375" style="439" bestFit="1" customWidth="1"/>
    <col min="10761" max="11008" width="9" style="439"/>
    <col min="11009" max="11011" width="15.08984375" style="439" customWidth="1"/>
    <col min="11012" max="11012" width="35.26953125" style="439" customWidth="1"/>
    <col min="11013" max="11014" width="19.6328125" style="439" customWidth="1"/>
    <col min="11015" max="11015" width="9" style="439"/>
    <col min="11016" max="11016" width="29.08984375" style="439" bestFit="1" customWidth="1"/>
    <col min="11017" max="11264" width="9" style="439"/>
    <col min="11265" max="11267" width="15.08984375" style="439" customWidth="1"/>
    <col min="11268" max="11268" width="35.26953125" style="439" customWidth="1"/>
    <col min="11269" max="11270" width="19.6328125" style="439" customWidth="1"/>
    <col min="11271" max="11271" width="9" style="439"/>
    <col min="11272" max="11272" width="29.08984375" style="439" bestFit="1" customWidth="1"/>
    <col min="11273" max="11520" width="9" style="439"/>
    <col min="11521" max="11523" width="15.08984375" style="439" customWidth="1"/>
    <col min="11524" max="11524" width="35.26953125" style="439" customWidth="1"/>
    <col min="11525" max="11526" width="19.6328125" style="439" customWidth="1"/>
    <col min="11527" max="11527" width="9" style="439"/>
    <col min="11528" max="11528" width="29.08984375" style="439" bestFit="1" customWidth="1"/>
    <col min="11529" max="11776" width="9" style="439"/>
    <col min="11777" max="11779" width="15.08984375" style="439" customWidth="1"/>
    <col min="11780" max="11780" width="35.26953125" style="439" customWidth="1"/>
    <col min="11781" max="11782" width="19.6328125" style="439" customWidth="1"/>
    <col min="11783" max="11783" width="9" style="439"/>
    <col min="11784" max="11784" width="29.08984375" style="439" bestFit="1" customWidth="1"/>
    <col min="11785" max="12032" width="9" style="439"/>
    <col min="12033" max="12035" width="15.08984375" style="439" customWidth="1"/>
    <col min="12036" max="12036" width="35.26953125" style="439" customWidth="1"/>
    <col min="12037" max="12038" width="19.6328125" style="439" customWidth="1"/>
    <col min="12039" max="12039" width="9" style="439"/>
    <col min="12040" max="12040" width="29.08984375" style="439" bestFit="1" customWidth="1"/>
    <col min="12041" max="12288" width="9" style="439"/>
    <col min="12289" max="12291" width="15.08984375" style="439" customWidth="1"/>
    <col min="12292" max="12292" width="35.26953125" style="439" customWidth="1"/>
    <col min="12293" max="12294" width="19.6328125" style="439" customWidth="1"/>
    <col min="12295" max="12295" width="9" style="439"/>
    <col min="12296" max="12296" width="29.08984375" style="439" bestFit="1" customWidth="1"/>
    <col min="12297" max="12544" width="9" style="439"/>
    <col min="12545" max="12547" width="15.08984375" style="439" customWidth="1"/>
    <col min="12548" max="12548" width="35.26953125" style="439" customWidth="1"/>
    <col min="12549" max="12550" width="19.6328125" style="439" customWidth="1"/>
    <col min="12551" max="12551" width="9" style="439"/>
    <col min="12552" max="12552" width="29.08984375" style="439" bestFit="1" customWidth="1"/>
    <col min="12553" max="12800" width="9" style="439"/>
    <col min="12801" max="12803" width="15.08984375" style="439" customWidth="1"/>
    <col min="12804" max="12804" width="35.26953125" style="439" customWidth="1"/>
    <col min="12805" max="12806" width="19.6328125" style="439" customWidth="1"/>
    <col min="12807" max="12807" width="9" style="439"/>
    <col min="12808" max="12808" width="29.08984375" style="439" bestFit="1" customWidth="1"/>
    <col min="12809" max="13056" width="9" style="439"/>
    <col min="13057" max="13059" width="15.08984375" style="439" customWidth="1"/>
    <col min="13060" max="13060" width="35.26953125" style="439" customWidth="1"/>
    <col min="13061" max="13062" width="19.6328125" style="439" customWidth="1"/>
    <col min="13063" max="13063" width="9" style="439"/>
    <col min="13064" max="13064" width="29.08984375" style="439" bestFit="1" customWidth="1"/>
    <col min="13065" max="13312" width="9" style="439"/>
    <col min="13313" max="13315" width="15.08984375" style="439" customWidth="1"/>
    <col min="13316" max="13316" width="35.26953125" style="439" customWidth="1"/>
    <col min="13317" max="13318" width="19.6328125" style="439" customWidth="1"/>
    <col min="13319" max="13319" width="9" style="439"/>
    <col min="13320" max="13320" width="29.08984375" style="439" bestFit="1" customWidth="1"/>
    <col min="13321" max="13568" width="9" style="439"/>
    <col min="13569" max="13571" width="15.08984375" style="439" customWidth="1"/>
    <col min="13572" max="13572" width="35.26953125" style="439" customWidth="1"/>
    <col min="13573" max="13574" width="19.6328125" style="439" customWidth="1"/>
    <col min="13575" max="13575" width="9" style="439"/>
    <col min="13576" max="13576" width="29.08984375" style="439" bestFit="1" customWidth="1"/>
    <col min="13577" max="13824" width="9" style="439"/>
    <col min="13825" max="13827" width="15.08984375" style="439" customWidth="1"/>
    <col min="13828" max="13828" width="35.26953125" style="439" customWidth="1"/>
    <col min="13829" max="13830" width="19.6328125" style="439" customWidth="1"/>
    <col min="13831" max="13831" width="9" style="439"/>
    <col min="13832" max="13832" width="29.08984375" style="439" bestFit="1" customWidth="1"/>
    <col min="13833" max="14080" width="9" style="439"/>
    <col min="14081" max="14083" width="15.08984375" style="439" customWidth="1"/>
    <col min="14084" max="14084" width="35.26953125" style="439" customWidth="1"/>
    <col min="14085" max="14086" width="19.6328125" style="439" customWidth="1"/>
    <col min="14087" max="14087" width="9" style="439"/>
    <col min="14088" max="14088" width="29.08984375" style="439" bestFit="1" customWidth="1"/>
    <col min="14089" max="14336" width="9" style="439"/>
    <col min="14337" max="14339" width="15.08984375" style="439" customWidth="1"/>
    <col min="14340" max="14340" width="35.26953125" style="439" customWidth="1"/>
    <col min="14341" max="14342" width="19.6328125" style="439" customWidth="1"/>
    <col min="14343" max="14343" width="9" style="439"/>
    <col min="14344" max="14344" width="29.08984375" style="439" bestFit="1" customWidth="1"/>
    <col min="14345" max="14592" width="9" style="439"/>
    <col min="14593" max="14595" width="15.08984375" style="439" customWidth="1"/>
    <col min="14596" max="14596" width="35.26953125" style="439" customWidth="1"/>
    <col min="14597" max="14598" width="19.6328125" style="439" customWidth="1"/>
    <col min="14599" max="14599" width="9" style="439"/>
    <col min="14600" max="14600" width="29.08984375" style="439" bestFit="1" customWidth="1"/>
    <col min="14601" max="14848" width="9" style="439"/>
    <col min="14849" max="14851" width="15.08984375" style="439" customWidth="1"/>
    <col min="14852" max="14852" width="35.26953125" style="439" customWidth="1"/>
    <col min="14853" max="14854" width="19.6328125" style="439" customWidth="1"/>
    <col min="14855" max="14855" width="9" style="439"/>
    <col min="14856" max="14856" width="29.08984375" style="439" bestFit="1" customWidth="1"/>
    <col min="14857" max="15104" width="9" style="439"/>
    <col min="15105" max="15107" width="15.08984375" style="439" customWidth="1"/>
    <col min="15108" max="15108" width="35.26953125" style="439" customWidth="1"/>
    <col min="15109" max="15110" width="19.6328125" style="439" customWidth="1"/>
    <col min="15111" max="15111" width="9" style="439"/>
    <col min="15112" max="15112" width="29.08984375" style="439" bestFit="1" customWidth="1"/>
    <col min="15113" max="15360" width="9" style="439"/>
    <col min="15361" max="15363" width="15.08984375" style="439" customWidth="1"/>
    <col min="15364" max="15364" width="35.26953125" style="439" customWidth="1"/>
    <col min="15365" max="15366" width="19.6328125" style="439" customWidth="1"/>
    <col min="15367" max="15367" width="9" style="439"/>
    <col min="15368" max="15368" width="29.08984375" style="439" bestFit="1" customWidth="1"/>
    <col min="15369" max="15616" width="9" style="439"/>
    <col min="15617" max="15619" width="15.08984375" style="439" customWidth="1"/>
    <col min="15620" max="15620" width="35.26953125" style="439" customWidth="1"/>
    <col min="15621" max="15622" width="19.6328125" style="439" customWidth="1"/>
    <col min="15623" max="15623" width="9" style="439"/>
    <col min="15624" max="15624" width="29.08984375" style="439" bestFit="1" customWidth="1"/>
    <col min="15625" max="15872" width="9" style="439"/>
    <col min="15873" max="15875" width="15.08984375" style="439" customWidth="1"/>
    <col min="15876" max="15876" width="35.26953125" style="439" customWidth="1"/>
    <col min="15877" max="15878" width="19.6328125" style="439" customWidth="1"/>
    <col min="15879" max="15879" width="9" style="439"/>
    <col min="15880" max="15880" width="29.08984375" style="439" bestFit="1" customWidth="1"/>
    <col min="15881" max="16128" width="9" style="439"/>
    <col min="16129" max="16131" width="15.08984375" style="439" customWidth="1"/>
    <col min="16132" max="16132" width="35.26953125" style="439" customWidth="1"/>
    <col min="16133" max="16134" width="19.6328125" style="439" customWidth="1"/>
    <col min="16135" max="16135" width="9" style="439"/>
    <col min="16136" max="16136" width="29.08984375" style="439" bestFit="1" customWidth="1"/>
    <col min="16137" max="16384" width="9" style="439"/>
  </cols>
  <sheetData>
    <row r="1" spans="1:13" ht="19.5" customHeight="1">
      <c r="A1" s="2565" t="s">
        <v>1820</v>
      </c>
      <c r="B1" s="2565"/>
      <c r="C1" s="2565"/>
      <c r="D1" s="2565"/>
      <c r="E1" s="2565"/>
      <c r="F1" s="2565"/>
      <c r="H1" s="440"/>
      <c r="J1" s="469" t="s">
        <v>1073</v>
      </c>
    </row>
    <row r="2" spans="1:13" ht="19.5" customHeight="1">
      <c r="A2" s="443"/>
      <c r="B2" s="443"/>
      <c r="C2" s="443"/>
      <c r="D2" s="443"/>
      <c r="E2" s="443"/>
      <c r="F2" s="443"/>
      <c r="H2" s="440"/>
      <c r="J2" s="442" t="str">
        <f>【楽天Edy用記入シート】業種シート!H5</f>
        <v/>
      </c>
    </row>
    <row r="3" spans="1:13" ht="15" customHeight="1">
      <c r="A3" s="444" t="s">
        <v>335</v>
      </c>
      <c r="B3" s="2566" t="s">
        <v>3844</v>
      </c>
      <c r="C3" s="2567"/>
      <c r="H3" s="446"/>
      <c r="J3" s="442">
        <f>SUMPRODUCT((J7:J44)*1)</f>
        <v>0</v>
      </c>
    </row>
    <row r="4" spans="1:13" ht="15" customHeight="1">
      <c r="A4" s="447" t="s">
        <v>1821</v>
      </c>
      <c r="B4" s="2568" t="s">
        <v>3845</v>
      </c>
      <c r="C4" s="2569"/>
      <c r="H4" s="446"/>
      <c r="J4" s="442"/>
    </row>
    <row r="5" spans="1:13" ht="15" customHeight="1">
      <c r="A5" s="447" t="s">
        <v>1822</v>
      </c>
      <c r="B5" s="2570" t="s">
        <v>3847</v>
      </c>
      <c r="C5" s="2571"/>
      <c r="H5" s="446"/>
      <c r="J5" s="442"/>
    </row>
    <row r="6" spans="1:13" ht="15" customHeight="1">
      <c r="A6" s="447" t="s">
        <v>1823</v>
      </c>
      <c r="B6" s="2572">
        <v>44075</v>
      </c>
      <c r="C6" s="2573"/>
      <c r="H6" s="446"/>
      <c r="J6" s="442"/>
    </row>
    <row r="7" spans="1:13" ht="15" customHeight="1">
      <c r="A7" s="448" t="s">
        <v>1893</v>
      </c>
      <c r="B7" s="2563" t="s">
        <v>3849</v>
      </c>
      <c r="C7" s="2564"/>
      <c r="H7" s="446"/>
      <c r="J7" s="449" t="b">
        <f>IF(B7="",TRUE,FALSE)</f>
        <v>0</v>
      </c>
    </row>
    <row r="8" spans="1:13" ht="7.5" customHeight="1">
      <c r="A8" s="443"/>
      <c r="B8" s="443"/>
      <c r="C8" s="443"/>
      <c r="D8" s="443"/>
      <c r="E8" s="443"/>
      <c r="F8" s="443"/>
      <c r="H8" s="440"/>
      <c r="J8" s="449"/>
    </row>
    <row r="9" spans="1:13" ht="14.25" customHeight="1">
      <c r="H9" s="446"/>
      <c r="J9" s="449"/>
    </row>
    <row r="10" spans="1:13" s="451" customFormat="1" ht="13.5" customHeight="1">
      <c r="A10" s="450" t="s">
        <v>1824</v>
      </c>
      <c r="B10" s="450"/>
      <c r="C10" s="450"/>
      <c r="D10" s="450"/>
      <c r="H10" s="446"/>
      <c r="I10" s="441"/>
      <c r="J10" s="449"/>
      <c r="K10" s="452"/>
      <c r="L10" s="452"/>
      <c r="M10" s="452"/>
    </row>
    <row r="11" spans="1:13" s="451" customFormat="1" ht="13.5" customHeight="1">
      <c r="A11" s="450" t="s">
        <v>1825</v>
      </c>
      <c r="B11" s="450"/>
      <c r="C11" s="450"/>
      <c r="D11" s="450"/>
      <c r="H11" s="446"/>
      <c r="I11" s="441"/>
      <c r="J11" s="449"/>
      <c r="K11" s="452"/>
      <c r="L11" s="452"/>
      <c r="M11" s="452"/>
    </row>
    <row r="12" spans="1:13" s="451" customFormat="1" ht="13.5" customHeight="1">
      <c r="A12" s="450" t="s">
        <v>1826</v>
      </c>
      <c r="B12" s="450"/>
      <c r="C12" s="450"/>
      <c r="D12" s="450"/>
      <c r="H12" s="446"/>
      <c r="I12" s="441"/>
      <c r="J12" s="449"/>
      <c r="K12" s="452"/>
      <c r="L12" s="452"/>
      <c r="M12" s="452"/>
    </row>
    <row r="13" spans="1:13" s="451" customFormat="1" ht="10.5" customHeight="1">
      <c r="A13" s="2558" t="s">
        <v>1827</v>
      </c>
      <c r="B13" s="2559"/>
      <c r="C13" s="2560" t="s">
        <v>1828</v>
      </c>
      <c r="D13" s="2561"/>
      <c r="E13" s="453" t="s">
        <v>1829</v>
      </c>
      <c r="F13" s="453" t="s">
        <v>319</v>
      </c>
      <c r="H13" s="446"/>
      <c r="I13" s="441"/>
      <c r="J13" s="449"/>
      <c r="K13" s="452"/>
      <c r="L13" s="452"/>
      <c r="M13" s="452"/>
    </row>
    <row r="14" spans="1:13" ht="24" customHeight="1">
      <c r="A14" s="2544" t="s">
        <v>1830</v>
      </c>
      <c r="B14" s="2545"/>
      <c r="C14" s="2544" t="s">
        <v>1831</v>
      </c>
      <c r="D14" s="2545"/>
      <c r="E14" s="423" t="s">
        <v>3848</v>
      </c>
      <c r="F14" s="463"/>
      <c r="H14" s="446"/>
      <c r="J14" s="449" t="b">
        <f>IF(E14="選択してください",TRUE,FALSE)</f>
        <v>0</v>
      </c>
    </row>
    <row r="15" spans="1:13" ht="23.25" customHeight="1">
      <c r="A15" s="2544" t="s">
        <v>1832</v>
      </c>
      <c r="B15" s="2545"/>
      <c r="C15" s="2544" t="s">
        <v>1833</v>
      </c>
      <c r="D15" s="2545"/>
      <c r="E15" s="423" t="s">
        <v>3851</v>
      </c>
      <c r="F15" s="463"/>
      <c r="H15" s="446"/>
      <c r="J15" s="449" t="b">
        <f>IF(E15="選択してください",TRUE,FALSE)</f>
        <v>0</v>
      </c>
    </row>
    <row r="16" spans="1:13" ht="23.25" customHeight="1">
      <c r="A16" s="454"/>
      <c r="B16" s="455"/>
      <c r="C16" s="455"/>
      <c r="D16" s="455"/>
      <c r="E16" s="456"/>
      <c r="F16" s="457"/>
      <c r="H16" s="446"/>
      <c r="J16" s="449"/>
    </row>
    <row r="17" spans="1:13" ht="12" customHeight="1">
      <c r="A17" s="450" t="s">
        <v>1834</v>
      </c>
      <c r="B17" s="450"/>
      <c r="C17" s="450"/>
      <c r="D17" s="450"/>
      <c r="E17" s="451"/>
      <c r="F17" s="451"/>
      <c r="H17" s="446"/>
      <c r="J17" s="449"/>
    </row>
    <row r="18" spans="1:13" s="451" customFormat="1" ht="12" customHeight="1">
      <c r="A18" s="2558" t="s">
        <v>1827</v>
      </c>
      <c r="B18" s="2559"/>
      <c r="C18" s="2560" t="s">
        <v>1828</v>
      </c>
      <c r="D18" s="2561"/>
      <c r="E18" s="453" t="s">
        <v>1829</v>
      </c>
      <c r="F18" s="453" t="s">
        <v>319</v>
      </c>
      <c r="H18" s="446"/>
      <c r="I18" s="441"/>
      <c r="J18" s="449"/>
      <c r="K18" s="452"/>
      <c r="L18" s="452"/>
      <c r="M18" s="452"/>
    </row>
    <row r="19" spans="1:13" ht="14.15" customHeight="1">
      <c r="A19" s="2544" t="s">
        <v>1835</v>
      </c>
      <c r="B19" s="2545"/>
      <c r="C19" s="458" t="s">
        <v>1836</v>
      </c>
      <c r="D19" s="459"/>
      <c r="E19" s="423" t="s">
        <v>3848</v>
      </c>
      <c r="F19" s="463"/>
      <c r="J19" s="449" t="b">
        <f t="shared" ref="J19:J31" si="0">IF(E19="選択してください",TRUE,FALSE)</f>
        <v>0</v>
      </c>
    </row>
    <row r="20" spans="1:13" ht="24.75" customHeight="1">
      <c r="A20" s="2544" t="s">
        <v>1837</v>
      </c>
      <c r="B20" s="2545"/>
      <c r="C20" s="2544" t="s">
        <v>1838</v>
      </c>
      <c r="D20" s="2545"/>
      <c r="E20" s="423" t="s">
        <v>3848</v>
      </c>
      <c r="F20" s="463"/>
      <c r="J20" s="449" t="b">
        <f t="shared" si="0"/>
        <v>0</v>
      </c>
    </row>
    <row r="21" spans="1:13" ht="24.25" customHeight="1">
      <c r="A21" s="2544" t="s">
        <v>1839</v>
      </c>
      <c r="B21" s="2545"/>
      <c r="C21" s="2544" t="s">
        <v>1840</v>
      </c>
      <c r="D21" s="2545"/>
      <c r="E21" s="423" t="s">
        <v>3848</v>
      </c>
      <c r="F21" s="463"/>
      <c r="J21" s="449" t="b">
        <f t="shared" si="0"/>
        <v>0</v>
      </c>
    </row>
    <row r="22" spans="1:13" ht="14.15" customHeight="1">
      <c r="A22" s="2544" t="s">
        <v>1841</v>
      </c>
      <c r="B22" s="2545"/>
      <c r="C22" s="458" t="s">
        <v>1842</v>
      </c>
      <c r="D22" s="459"/>
      <c r="E22" s="423" t="s">
        <v>3848</v>
      </c>
      <c r="F22" s="463"/>
      <c r="J22" s="449" t="b">
        <f t="shared" si="0"/>
        <v>0</v>
      </c>
    </row>
    <row r="23" spans="1:13" ht="14.15" customHeight="1">
      <c r="A23" s="2544" t="s">
        <v>1843</v>
      </c>
      <c r="B23" s="2545"/>
      <c r="C23" s="458" t="s">
        <v>1844</v>
      </c>
      <c r="D23" s="459"/>
      <c r="E23" s="423" t="s">
        <v>3848</v>
      </c>
      <c r="F23" s="463"/>
      <c r="J23" s="449" t="b">
        <f t="shared" si="0"/>
        <v>0</v>
      </c>
    </row>
    <row r="24" spans="1:13" ht="14.15" customHeight="1">
      <c r="A24" s="2544" t="s">
        <v>1845</v>
      </c>
      <c r="B24" s="2545"/>
      <c r="C24" s="458" t="s">
        <v>1846</v>
      </c>
      <c r="D24" s="459"/>
      <c r="E24" s="423" t="s">
        <v>3848</v>
      </c>
      <c r="F24" s="463"/>
      <c r="J24" s="449" t="b">
        <f t="shared" si="0"/>
        <v>0</v>
      </c>
    </row>
    <row r="25" spans="1:13" ht="14.15" customHeight="1">
      <c r="A25" s="2544" t="s">
        <v>1847</v>
      </c>
      <c r="B25" s="2545"/>
      <c r="C25" s="458" t="s">
        <v>1848</v>
      </c>
      <c r="D25" s="459"/>
      <c r="E25" s="423" t="s">
        <v>3848</v>
      </c>
      <c r="F25" s="463"/>
      <c r="J25" s="449" t="b">
        <f t="shared" si="0"/>
        <v>0</v>
      </c>
    </row>
    <row r="26" spans="1:13" ht="24.25" customHeight="1">
      <c r="A26" s="2544" t="s">
        <v>1849</v>
      </c>
      <c r="B26" s="2545"/>
      <c r="C26" s="2544" t="s">
        <v>1850</v>
      </c>
      <c r="D26" s="2562"/>
      <c r="E26" s="423" t="s">
        <v>3848</v>
      </c>
      <c r="F26" s="463"/>
      <c r="J26" s="449" t="b">
        <f t="shared" si="0"/>
        <v>0</v>
      </c>
    </row>
    <row r="27" spans="1:13" ht="24.25" customHeight="1">
      <c r="A27" s="2544" t="s">
        <v>1851</v>
      </c>
      <c r="B27" s="2545"/>
      <c r="C27" s="2544" t="s">
        <v>1852</v>
      </c>
      <c r="D27" s="2545"/>
      <c r="E27" s="423" t="s">
        <v>3848</v>
      </c>
      <c r="F27" s="463"/>
      <c r="J27" s="449" t="b">
        <f t="shared" si="0"/>
        <v>0</v>
      </c>
    </row>
    <row r="28" spans="1:13" ht="33" customHeight="1">
      <c r="A28" s="2544" t="s">
        <v>1853</v>
      </c>
      <c r="B28" s="2545"/>
      <c r="C28" s="2544" t="s">
        <v>1854</v>
      </c>
      <c r="D28" s="2545"/>
      <c r="E28" s="423" t="s">
        <v>3848</v>
      </c>
      <c r="F28" s="463"/>
      <c r="J28" s="449" t="b">
        <f t="shared" si="0"/>
        <v>0</v>
      </c>
    </row>
    <row r="29" spans="1:13" ht="28.5" customHeight="1">
      <c r="A29" s="2544" t="s">
        <v>1855</v>
      </c>
      <c r="B29" s="2545"/>
      <c r="C29" s="2544" t="s">
        <v>1856</v>
      </c>
      <c r="D29" s="2545"/>
      <c r="E29" s="423" t="s">
        <v>3848</v>
      </c>
      <c r="F29" s="463"/>
      <c r="J29" s="449" t="b">
        <f t="shared" si="0"/>
        <v>0</v>
      </c>
    </row>
    <row r="30" spans="1:13" ht="14.15" customHeight="1">
      <c r="A30" s="2544" t="s">
        <v>1857</v>
      </c>
      <c r="B30" s="2545"/>
      <c r="C30" s="458" t="s">
        <v>1858</v>
      </c>
      <c r="D30" s="459"/>
      <c r="E30" s="423" t="s">
        <v>3848</v>
      </c>
      <c r="F30" s="463"/>
      <c r="J30" s="449" t="b">
        <f t="shared" si="0"/>
        <v>0</v>
      </c>
    </row>
    <row r="31" spans="1:13" ht="31.5" customHeight="1">
      <c r="A31" s="2544" t="s">
        <v>1859</v>
      </c>
      <c r="B31" s="2545"/>
      <c r="C31" s="2544" t="s">
        <v>1860</v>
      </c>
      <c r="D31" s="2545"/>
      <c r="E31" s="423" t="s">
        <v>3848</v>
      </c>
      <c r="F31" s="463"/>
      <c r="J31" s="449" t="b">
        <f t="shared" si="0"/>
        <v>0</v>
      </c>
    </row>
    <row r="32" spans="1:13" ht="14.25" customHeight="1">
      <c r="A32" s="455"/>
      <c r="B32" s="455"/>
      <c r="C32" s="455"/>
      <c r="D32" s="455"/>
      <c r="E32" s="456"/>
      <c r="F32" s="457"/>
      <c r="J32" s="449"/>
    </row>
    <row r="33" spans="1:13" ht="16.75" customHeight="1">
      <c r="A33" s="451" t="s">
        <v>1861</v>
      </c>
      <c r="B33" s="450"/>
      <c r="C33" s="450"/>
      <c r="D33" s="450"/>
      <c r="E33" s="451"/>
      <c r="F33" s="451"/>
      <c r="J33" s="449"/>
    </row>
    <row r="34" spans="1:13" ht="12" customHeight="1">
      <c r="A34" s="451" t="s">
        <v>1862</v>
      </c>
      <c r="B34" s="450"/>
      <c r="C34" s="450"/>
      <c r="D34" s="450"/>
      <c r="E34" s="451"/>
      <c r="F34" s="451"/>
      <c r="I34" s="452"/>
      <c r="J34" s="449"/>
    </row>
    <row r="35" spans="1:13" s="451" customFormat="1" ht="14.25" customHeight="1">
      <c r="A35" s="2558" t="s">
        <v>1827</v>
      </c>
      <c r="B35" s="2559"/>
      <c r="C35" s="2560" t="s">
        <v>1828</v>
      </c>
      <c r="D35" s="2561"/>
      <c r="E35" s="453" t="s">
        <v>1829</v>
      </c>
      <c r="F35" s="453" t="s">
        <v>319</v>
      </c>
      <c r="H35" s="441"/>
      <c r="I35" s="452"/>
      <c r="J35" s="449"/>
      <c r="K35" s="452"/>
      <c r="L35" s="452"/>
      <c r="M35" s="452"/>
    </row>
    <row r="36" spans="1:13" s="451" customFormat="1" ht="24" customHeight="1">
      <c r="A36" s="2544" t="s">
        <v>1863</v>
      </c>
      <c r="B36" s="2545"/>
      <c r="C36" s="2544" t="s">
        <v>1864</v>
      </c>
      <c r="D36" s="2545"/>
      <c r="E36" s="423" t="s">
        <v>3848</v>
      </c>
      <c r="F36" s="463"/>
      <c r="H36" s="441"/>
      <c r="I36" s="452"/>
      <c r="J36" s="449" t="b">
        <f t="shared" ref="J36:J44" si="1">IF(E36="選択してください",TRUE,FALSE)</f>
        <v>0</v>
      </c>
      <c r="K36" s="452"/>
      <c r="L36" s="452"/>
      <c r="M36" s="452"/>
    </row>
    <row r="37" spans="1:13" s="451" customFormat="1" ht="24.25" customHeight="1">
      <c r="A37" s="2544" t="s">
        <v>1865</v>
      </c>
      <c r="B37" s="2545"/>
      <c r="C37" s="2544" t="s">
        <v>1866</v>
      </c>
      <c r="D37" s="2545"/>
      <c r="E37" s="423" t="s">
        <v>3848</v>
      </c>
      <c r="F37" s="463"/>
      <c r="H37" s="441"/>
      <c r="I37" s="441"/>
      <c r="J37" s="449" t="b">
        <f t="shared" si="1"/>
        <v>0</v>
      </c>
      <c r="K37" s="452"/>
      <c r="L37" s="452"/>
      <c r="M37" s="452"/>
    </row>
    <row r="38" spans="1:13" ht="16.75" customHeight="1">
      <c r="A38" s="2546" t="s">
        <v>1867</v>
      </c>
      <c r="B38" s="2547"/>
      <c r="C38" s="458" t="s">
        <v>1868</v>
      </c>
      <c r="D38" s="459"/>
      <c r="E38" s="423" t="s">
        <v>3848</v>
      </c>
      <c r="F38" s="463"/>
      <c r="J38" s="449" t="b">
        <f t="shared" si="1"/>
        <v>0</v>
      </c>
    </row>
    <row r="39" spans="1:13" ht="16.5" customHeight="1">
      <c r="A39" s="2548"/>
      <c r="B39" s="2549"/>
      <c r="C39" s="458" t="s">
        <v>1869</v>
      </c>
      <c r="D39" s="459"/>
      <c r="E39" s="423" t="s">
        <v>3848</v>
      </c>
      <c r="F39" s="463"/>
      <c r="H39" s="446"/>
      <c r="J39" s="449" t="b">
        <f t="shared" si="1"/>
        <v>0</v>
      </c>
    </row>
    <row r="40" spans="1:13" ht="16.75" customHeight="1">
      <c r="A40" s="2548"/>
      <c r="B40" s="2549"/>
      <c r="C40" s="458" t="s">
        <v>1870</v>
      </c>
      <c r="D40" s="459"/>
      <c r="E40" s="423" t="s">
        <v>3848</v>
      </c>
      <c r="F40" s="463"/>
      <c r="H40" s="446"/>
      <c r="J40" s="449" t="b">
        <f t="shared" si="1"/>
        <v>0</v>
      </c>
    </row>
    <row r="41" spans="1:13" ht="16.75" customHeight="1">
      <c r="A41" s="2548"/>
      <c r="B41" s="2549"/>
      <c r="C41" s="458" t="s">
        <v>1871</v>
      </c>
      <c r="D41" s="459"/>
      <c r="E41" s="423" t="s">
        <v>3848</v>
      </c>
      <c r="F41" s="463"/>
      <c r="J41" s="449" t="b">
        <f t="shared" si="1"/>
        <v>0</v>
      </c>
    </row>
    <row r="42" spans="1:13" ht="16.75" customHeight="1">
      <c r="A42" s="2548"/>
      <c r="B42" s="2549"/>
      <c r="C42" s="458" t="s">
        <v>1872</v>
      </c>
      <c r="D42" s="459"/>
      <c r="E42" s="423" t="s">
        <v>3848</v>
      </c>
      <c r="F42" s="463"/>
      <c r="J42" s="449" t="b">
        <f t="shared" si="1"/>
        <v>0</v>
      </c>
    </row>
    <row r="43" spans="1:13" ht="16.5" customHeight="1">
      <c r="A43" s="2548"/>
      <c r="B43" s="2549"/>
      <c r="C43" s="458" t="s">
        <v>1873</v>
      </c>
      <c r="D43" s="459"/>
      <c r="E43" s="423" t="s">
        <v>3848</v>
      </c>
      <c r="F43" s="463"/>
      <c r="J43" s="449" t="b">
        <f t="shared" si="1"/>
        <v>0</v>
      </c>
    </row>
    <row r="44" spans="1:13" ht="16.75" customHeight="1">
      <c r="A44" s="2550"/>
      <c r="B44" s="2551"/>
      <c r="C44" s="458" t="s">
        <v>1874</v>
      </c>
      <c r="D44" s="459"/>
      <c r="E44" s="423" t="s">
        <v>3848</v>
      </c>
      <c r="F44" s="463"/>
      <c r="J44" s="449" t="b">
        <f t="shared" si="1"/>
        <v>0</v>
      </c>
    </row>
    <row r="45" spans="1:13" ht="16.75" customHeight="1">
      <c r="A45" s="455"/>
      <c r="B45" s="455"/>
      <c r="C45" s="460"/>
      <c r="D45" s="460"/>
      <c r="E45" s="456"/>
      <c r="F45" s="457"/>
      <c r="J45" s="442"/>
    </row>
    <row r="46" spans="1:13" ht="16.75" customHeight="1" thickBot="1">
      <c r="A46" s="461" t="s">
        <v>1875</v>
      </c>
      <c r="J46" s="442"/>
    </row>
    <row r="47" spans="1:13" ht="20.5" customHeight="1">
      <c r="A47" s="2552"/>
      <c r="B47" s="2553"/>
      <c r="C47" s="2553"/>
      <c r="D47" s="2553"/>
      <c r="E47" s="2553"/>
      <c r="F47" s="2554"/>
      <c r="J47" s="442"/>
    </row>
    <row r="48" spans="1:13" ht="20.5" customHeight="1" thickBot="1">
      <c r="A48" s="2555"/>
      <c r="B48" s="2556"/>
      <c r="C48" s="2556"/>
      <c r="D48" s="2556"/>
      <c r="E48" s="2556"/>
      <c r="F48" s="2557"/>
      <c r="J48" s="442"/>
    </row>
    <row r="49" spans="6:10" ht="21" customHeight="1">
      <c r="J49" s="442"/>
    </row>
    <row r="50" spans="6:10">
      <c r="F50" s="462" t="s">
        <v>1876</v>
      </c>
      <c r="J50" s="442"/>
    </row>
  </sheetData>
  <sheetProtection algorithmName="SHA-512" hashValue="Otmc0HVCL7WoZULVkSfeAj98RUR8daHal02QpkZ2AVhGiHBQaa3Wr2Y/Art6UIpOn/7y8YnQ69qrZN2XNCPOSw==" saltValue="4L3PKgE6b5p78RTycnUnSQ==" spinCount="100000" sheet="1" objects="1" scenarios="1" selectLockedCells="1" selectUnlockedCells="1"/>
  <mergeCells count="42">
    <mergeCell ref="B7:C7"/>
    <mergeCell ref="A1:F1"/>
    <mergeCell ref="B3:C3"/>
    <mergeCell ref="B4:C4"/>
    <mergeCell ref="B5:C5"/>
    <mergeCell ref="B6:C6"/>
    <mergeCell ref="A13:B13"/>
    <mergeCell ref="C13:D13"/>
    <mergeCell ref="A14:B14"/>
    <mergeCell ref="C14:D14"/>
    <mergeCell ref="A15:B15"/>
    <mergeCell ref="C15:D15"/>
    <mergeCell ref="C26:D26"/>
    <mergeCell ref="A18:B18"/>
    <mergeCell ref="C18:D18"/>
    <mergeCell ref="A19:B19"/>
    <mergeCell ref="A20:B20"/>
    <mergeCell ref="C20:D20"/>
    <mergeCell ref="A21:B21"/>
    <mergeCell ref="C21:D21"/>
    <mergeCell ref="A22:B22"/>
    <mergeCell ref="A23:B23"/>
    <mergeCell ref="A24:B24"/>
    <mergeCell ref="A25:B25"/>
    <mergeCell ref="A26:B26"/>
    <mergeCell ref="A27:B27"/>
    <mergeCell ref="C27:D27"/>
    <mergeCell ref="A28:B28"/>
    <mergeCell ref="C28:D28"/>
    <mergeCell ref="A29:B29"/>
    <mergeCell ref="C29:D29"/>
    <mergeCell ref="A37:B37"/>
    <mergeCell ref="C37:D37"/>
    <mergeCell ref="A38:B44"/>
    <mergeCell ref="A47:F48"/>
    <mergeCell ref="A30:B30"/>
    <mergeCell ref="A31:B31"/>
    <mergeCell ref="C31:D31"/>
    <mergeCell ref="A35:B35"/>
    <mergeCell ref="C35:D35"/>
    <mergeCell ref="A36:B36"/>
    <mergeCell ref="C36:D36"/>
  </mergeCells>
  <phoneticPr fontId="3"/>
  <conditionalFormatting sqref="B7:C7">
    <cfRule type="expression" dxfId="275" priority="1">
      <formula>AND($J$2=1,$B$7="")</formula>
    </cfRule>
  </conditionalFormatting>
  <conditionalFormatting sqref="E14:E15 E19:E31 E36:E44">
    <cfRule type="expression" dxfId="274" priority="2">
      <formula>AND($J$2=1,E14="選択してください")</formula>
    </cfRule>
  </conditionalFormatting>
  <dataValidations count="2">
    <dataValidation type="list" allowBlank="1" showInputMessage="1" showErrorMessage="1" sqref="E14:E15 E19:E31 E36:E44" xr:uid="{00000000-0002-0000-0400-000000000000}">
      <formula1>"選択してください,はい,いいえ"</formula1>
    </dataValidation>
    <dataValidation type="list" allowBlank="1" showInputMessage="1" showErrorMessage="1" sqref="WVJ983044:WVK98304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xr:uid="{00000000-0002-0000-0400-000001000000}">
      <formula1>$H$1:$H$18</formula1>
    </dataValidation>
  </dataValidations>
  <printOptions horizontalCentered="1"/>
  <pageMargins left="0.59055118110236227" right="0.59055118110236227" top="0.78740157480314965" bottom="0.78740157480314965" header="0.39370078740157483" footer="0.39370078740157483"/>
  <pageSetup paperSize="9" scale="76"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1:G144"/>
  <sheetViews>
    <sheetView showGridLines="0" zoomScale="85" zoomScaleNormal="85" workbookViewId="0">
      <pane ySplit="6" topLeftCell="A7" activePane="bottomLeft" state="frozen"/>
      <selection pane="bottomLeft"/>
    </sheetView>
  </sheetViews>
  <sheetFormatPr defaultColWidth="9" defaultRowHeight="15"/>
  <cols>
    <col min="1" max="1" width="3.7265625" style="306" customWidth="1"/>
    <col min="2" max="2" width="14.6328125" style="306" customWidth="1"/>
    <col min="3" max="3" width="30.6328125" style="306" customWidth="1"/>
    <col min="4" max="4" width="5.453125" style="306" hidden="1" customWidth="1"/>
    <col min="5" max="7" width="8.6328125" style="306" hidden="1" customWidth="1"/>
    <col min="8" max="16384" width="9" style="306"/>
  </cols>
  <sheetData>
    <row r="1" spans="2:7">
      <c r="D1" s="873" t="s">
        <v>1073</v>
      </c>
      <c r="E1" s="873" t="s">
        <v>1073</v>
      </c>
      <c r="F1" s="873" t="s">
        <v>1073</v>
      </c>
      <c r="G1" s="873" t="s">
        <v>1073</v>
      </c>
    </row>
    <row r="2" spans="2:7" ht="26.5">
      <c r="B2" s="874" t="s">
        <v>4883</v>
      </c>
    </row>
    <row r="4" spans="2:7">
      <c r="B4" s="420" t="s">
        <v>1885</v>
      </c>
      <c r="C4" s="910" t="str">
        <f ca="1">IF(G5=0,"該当する業種を一覧の中からご選択ください。",OFFSET(C6,G5,0))</f>
        <v>携帯電話</v>
      </c>
      <c r="G4" s="875">
        <f ca="1">IF(G5=0,0,OFFSET(G6,G5,0))</f>
        <v>5881</v>
      </c>
    </row>
    <row r="5" spans="2:7">
      <c r="G5" s="931">
        <v>65</v>
      </c>
    </row>
    <row r="6" spans="2:7" ht="30">
      <c r="B6" s="876" t="s">
        <v>1884</v>
      </c>
      <c r="C6" s="877" t="s">
        <v>4151</v>
      </c>
      <c r="D6" s="878" t="s">
        <v>4152</v>
      </c>
      <c r="G6" s="306" t="s">
        <v>4153</v>
      </c>
    </row>
    <row r="7" spans="2:7" ht="16.5" customHeight="1">
      <c r="B7" s="879"/>
      <c r="C7" s="879" t="s">
        <v>4884</v>
      </c>
      <c r="D7" s="880"/>
      <c r="G7" s="928" t="s">
        <v>4923</v>
      </c>
    </row>
    <row r="8" spans="2:7" ht="16.5" customHeight="1">
      <c r="B8" s="879"/>
      <c r="C8" s="879" t="s">
        <v>4885</v>
      </c>
      <c r="D8" s="880"/>
      <c r="G8" s="928">
        <v>1131</v>
      </c>
    </row>
    <row r="9" spans="2:7" ht="16.5" customHeight="1">
      <c r="B9" s="879"/>
      <c r="C9" s="879" t="s">
        <v>4886</v>
      </c>
      <c r="D9" s="880"/>
      <c r="G9" s="928">
        <v>1931</v>
      </c>
    </row>
    <row r="10" spans="2:7" ht="16.5" customHeight="1">
      <c r="B10" s="879"/>
      <c r="C10" s="879" t="s">
        <v>4887</v>
      </c>
      <c r="D10" s="880"/>
      <c r="G10" s="928">
        <v>4101</v>
      </c>
    </row>
    <row r="11" spans="2:7" ht="16.5" customHeight="1">
      <c r="B11" s="879"/>
      <c r="C11" s="879" t="s">
        <v>4888</v>
      </c>
      <c r="D11" s="880"/>
      <c r="G11" s="928">
        <v>4102</v>
      </c>
    </row>
    <row r="12" spans="2:7" ht="16.5" customHeight="1">
      <c r="B12" s="879"/>
      <c r="C12" s="879" t="s">
        <v>4889</v>
      </c>
      <c r="D12" s="880"/>
      <c r="G12" s="928">
        <v>4111</v>
      </c>
    </row>
    <row r="13" spans="2:7" ht="16.5" customHeight="1">
      <c r="B13" s="879"/>
      <c r="C13" s="879" t="s">
        <v>4890</v>
      </c>
      <c r="D13" s="880"/>
      <c r="G13" s="928">
        <v>4201</v>
      </c>
    </row>
    <row r="14" spans="2:7" ht="16.5" customHeight="1">
      <c r="B14" s="879"/>
      <c r="C14" s="879" t="s">
        <v>4891</v>
      </c>
      <c r="D14" s="880"/>
      <c r="G14" s="928">
        <v>4202</v>
      </c>
    </row>
    <row r="15" spans="2:7" ht="16.5" customHeight="1">
      <c r="B15" s="879"/>
      <c r="C15" s="879" t="s">
        <v>4892</v>
      </c>
      <c r="D15" s="880"/>
      <c r="G15" s="928">
        <v>4211</v>
      </c>
    </row>
    <row r="16" spans="2:7" ht="16.5" customHeight="1">
      <c r="B16" s="879"/>
      <c r="C16" s="879" t="s">
        <v>4893</v>
      </c>
      <c r="D16" s="880"/>
      <c r="G16" s="928">
        <v>4311</v>
      </c>
    </row>
    <row r="17" spans="2:7" ht="16.5" customHeight="1">
      <c r="B17" s="879"/>
      <c r="C17" s="879" t="s">
        <v>4894</v>
      </c>
      <c r="D17" s="880"/>
      <c r="G17" s="928">
        <v>4411</v>
      </c>
    </row>
    <row r="18" spans="2:7" ht="16.5" customHeight="1">
      <c r="B18" s="879"/>
      <c r="C18" s="879" t="s">
        <v>1733</v>
      </c>
      <c r="D18" s="880"/>
      <c r="G18" s="928">
        <v>4601</v>
      </c>
    </row>
    <row r="19" spans="2:7" ht="16.5" customHeight="1">
      <c r="B19" s="879"/>
      <c r="C19" s="879" t="s">
        <v>4895</v>
      </c>
      <c r="D19" s="880"/>
      <c r="G19" s="928">
        <v>4641</v>
      </c>
    </row>
    <row r="20" spans="2:7" ht="16.5" customHeight="1">
      <c r="B20" s="879"/>
      <c r="C20" s="879" t="s">
        <v>4896</v>
      </c>
      <c r="D20" s="880"/>
      <c r="G20" s="928">
        <v>4691</v>
      </c>
    </row>
    <row r="21" spans="2:7" ht="16.5" customHeight="1">
      <c r="B21" s="879"/>
      <c r="C21" s="879" t="s">
        <v>4897</v>
      </c>
      <c r="D21" s="880"/>
      <c r="G21" s="928">
        <v>4701</v>
      </c>
    </row>
    <row r="22" spans="2:7" ht="16.5" customHeight="1">
      <c r="B22" s="879"/>
      <c r="C22" s="879" t="s">
        <v>5013</v>
      </c>
      <c r="D22" s="880"/>
      <c r="G22" s="928">
        <v>4702</v>
      </c>
    </row>
    <row r="23" spans="2:7" ht="16.5" customHeight="1">
      <c r="B23" s="879"/>
      <c r="C23" s="879" t="s">
        <v>4898</v>
      </c>
      <c r="D23" s="880"/>
      <c r="G23" s="928">
        <v>4711</v>
      </c>
    </row>
    <row r="24" spans="2:7" ht="16.5" customHeight="1">
      <c r="B24" s="879"/>
      <c r="C24" s="879" t="s">
        <v>4899</v>
      </c>
      <c r="D24" s="880"/>
      <c r="G24" s="928">
        <v>5301</v>
      </c>
    </row>
    <row r="25" spans="2:7" ht="16.5" customHeight="1">
      <c r="B25" s="879"/>
      <c r="C25" s="879" t="s">
        <v>4158</v>
      </c>
      <c r="D25" s="880"/>
      <c r="G25" s="928">
        <v>5302</v>
      </c>
    </row>
    <row r="26" spans="2:7" ht="16.5" customHeight="1">
      <c r="B26" s="879"/>
      <c r="C26" s="879" t="s">
        <v>4900</v>
      </c>
      <c r="D26" s="880"/>
      <c r="G26" s="928">
        <v>5303</v>
      </c>
    </row>
    <row r="27" spans="2:7" ht="16.5" customHeight="1">
      <c r="B27" s="879"/>
      <c r="C27" s="879" t="s">
        <v>4901</v>
      </c>
      <c r="D27" s="880"/>
      <c r="G27" s="928">
        <v>5304</v>
      </c>
    </row>
    <row r="28" spans="2:7" ht="16.5" customHeight="1">
      <c r="B28" s="879"/>
      <c r="C28" s="879" t="s">
        <v>4902</v>
      </c>
      <c r="D28" s="880"/>
      <c r="G28" s="928">
        <v>5305</v>
      </c>
    </row>
    <row r="29" spans="2:7" ht="16.5" customHeight="1">
      <c r="B29" s="879"/>
      <c r="C29" s="879" t="s">
        <v>4903</v>
      </c>
      <c r="D29" s="880"/>
      <c r="G29" s="928">
        <v>5306</v>
      </c>
    </row>
    <row r="30" spans="2:7" ht="16.5" customHeight="1">
      <c r="B30" s="879"/>
      <c r="C30" s="879" t="s">
        <v>4904</v>
      </c>
      <c r="D30" s="880"/>
      <c r="G30" s="928">
        <v>5307</v>
      </c>
    </row>
    <row r="31" spans="2:7" ht="16.5" customHeight="1">
      <c r="B31" s="879"/>
      <c r="C31" s="879" t="s">
        <v>2275</v>
      </c>
      <c r="D31" s="880"/>
      <c r="G31" s="928">
        <v>5308</v>
      </c>
    </row>
    <row r="32" spans="2:7" ht="16.5" customHeight="1">
      <c r="B32" s="879"/>
      <c r="C32" s="879" t="s">
        <v>4905</v>
      </c>
      <c r="D32" s="880"/>
      <c r="G32" s="928">
        <v>5309</v>
      </c>
    </row>
    <row r="33" spans="2:7" ht="16.5" customHeight="1">
      <c r="B33" s="879"/>
      <c r="C33" s="879" t="s">
        <v>5012</v>
      </c>
      <c r="D33" s="880"/>
      <c r="G33" s="928">
        <v>5311</v>
      </c>
    </row>
    <row r="34" spans="2:7" ht="16.5" customHeight="1">
      <c r="B34" s="879"/>
      <c r="C34" s="879" t="s">
        <v>4906</v>
      </c>
      <c r="D34" s="880"/>
      <c r="G34" s="928">
        <v>5312</v>
      </c>
    </row>
    <row r="35" spans="2:7" ht="16.5" customHeight="1">
      <c r="B35" s="879"/>
      <c r="C35" s="879" t="s">
        <v>4907</v>
      </c>
      <c r="D35" s="880"/>
      <c r="G35" s="928">
        <v>5313</v>
      </c>
    </row>
    <row r="36" spans="2:7" ht="16.5" customHeight="1">
      <c r="B36" s="879"/>
      <c r="C36" s="879" t="s">
        <v>5010</v>
      </c>
      <c r="D36" s="880"/>
      <c r="G36" s="928">
        <v>5315</v>
      </c>
    </row>
    <row r="37" spans="2:7" ht="16.5" customHeight="1">
      <c r="B37" s="879"/>
      <c r="C37" s="879" t="s">
        <v>5011</v>
      </c>
      <c r="D37" s="880"/>
      <c r="G37" s="928">
        <v>5319</v>
      </c>
    </row>
    <row r="38" spans="2:7" ht="16.5" customHeight="1">
      <c r="B38" s="879"/>
      <c r="C38" s="879" t="s">
        <v>4908</v>
      </c>
      <c r="D38" s="880"/>
      <c r="G38" s="928">
        <v>5401</v>
      </c>
    </row>
    <row r="39" spans="2:7" ht="16.5" customHeight="1">
      <c r="B39" s="879"/>
      <c r="C39" s="879" t="s">
        <v>4909</v>
      </c>
      <c r="D39" s="880"/>
      <c r="G39" s="928">
        <v>5402</v>
      </c>
    </row>
    <row r="40" spans="2:7" ht="16.5" customHeight="1">
      <c r="B40" s="879"/>
      <c r="C40" s="879" t="s">
        <v>4910</v>
      </c>
      <c r="D40" s="880"/>
      <c r="G40" s="928">
        <v>5403</v>
      </c>
    </row>
    <row r="41" spans="2:7" ht="16.5" customHeight="1">
      <c r="B41" s="879"/>
      <c r="C41" s="879" t="s">
        <v>4911</v>
      </c>
      <c r="D41" s="880"/>
      <c r="G41" s="928">
        <v>5404</v>
      </c>
    </row>
    <row r="42" spans="2:7" ht="16.5" customHeight="1">
      <c r="B42" s="879"/>
      <c r="C42" s="879" t="s">
        <v>4912</v>
      </c>
      <c r="D42" s="880"/>
      <c r="G42" s="928">
        <v>5405</v>
      </c>
    </row>
    <row r="43" spans="2:7" ht="16.5" customHeight="1">
      <c r="B43" s="879"/>
      <c r="C43" s="879" t="s">
        <v>4913</v>
      </c>
      <c r="D43" s="880"/>
      <c r="G43" s="928">
        <v>5411</v>
      </c>
    </row>
    <row r="44" spans="2:7" ht="16.5" customHeight="1">
      <c r="B44" s="879"/>
      <c r="C44" s="879" t="s">
        <v>4914</v>
      </c>
      <c r="D44" s="880"/>
      <c r="G44" s="928">
        <v>5412</v>
      </c>
    </row>
    <row r="45" spans="2:7" ht="16.5" customHeight="1">
      <c r="B45" s="879"/>
      <c r="C45" s="879" t="s">
        <v>4915</v>
      </c>
      <c r="D45" s="880"/>
      <c r="G45" s="928">
        <v>5413</v>
      </c>
    </row>
    <row r="46" spans="2:7" ht="16.5" customHeight="1">
      <c r="B46" s="879"/>
      <c r="C46" s="879" t="s">
        <v>4916</v>
      </c>
      <c r="D46" s="880"/>
      <c r="G46" s="928">
        <v>5414</v>
      </c>
    </row>
    <row r="47" spans="2:7" ht="16.5" customHeight="1">
      <c r="B47" s="879"/>
      <c r="C47" s="879" t="s">
        <v>4917</v>
      </c>
      <c r="D47" s="880"/>
      <c r="G47" s="928">
        <v>5501</v>
      </c>
    </row>
    <row r="48" spans="2:7" ht="16.5" customHeight="1">
      <c r="B48" s="879"/>
      <c r="C48" s="879" t="s">
        <v>4918</v>
      </c>
      <c r="D48" s="880"/>
      <c r="G48" s="928">
        <v>5502</v>
      </c>
    </row>
    <row r="49" spans="2:7" ht="16.5" customHeight="1">
      <c r="B49" s="879"/>
      <c r="C49" s="879" t="s">
        <v>4919</v>
      </c>
      <c r="D49" s="880"/>
      <c r="G49" s="928">
        <v>5611</v>
      </c>
    </row>
    <row r="50" spans="2:7" ht="16.5" customHeight="1">
      <c r="B50" s="879"/>
      <c r="C50" s="879" t="s">
        <v>4920</v>
      </c>
      <c r="D50" s="880"/>
      <c r="G50" s="928">
        <v>5612</v>
      </c>
    </row>
    <row r="51" spans="2:7" ht="16.5" customHeight="1">
      <c r="B51" s="879"/>
      <c r="C51" s="879" t="s">
        <v>4921</v>
      </c>
      <c r="D51" s="880"/>
      <c r="G51" s="928">
        <v>5711</v>
      </c>
    </row>
    <row r="52" spans="2:7" ht="16.5" customHeight="1">
      <c r="B52" s="879"/>
      <c r="C52" s="879" t="s">
        <v>4922</v>
      </c>
      <c r="D52" s="880"/>
      <c r="G52" s="928">
        <v>5712</v>
      </c>
    </row>
    <row r="53" spans="2:7" ht="16.5" customHeight="1">
      <c r="B53" s="879"/>
      <c r="C53" s="879" t="s">
        <v>4924</v>
      </c>
      <c r="D53" s="880"/>
      <c r="G53" s="928">
        <v>5713</v>
      </c>
    </row>
    <row r="54" spans="2:7" ht="16.5" customHeight="1">
      <c r="B54" s="879"/>
      <c r="C54" s="879" t="s">
        <v>4925</v>
      </c>
      <c r="D54" s="880"/>
      <c r="G54" s="928">
        <v>5811</v>
      </c>
    </row>
    <row r="55" spans="2:7" ht="16.5" customHeight="1">
      <c r="B55" s="879"/>
      <c r="C55" s="879" t="s">
        <v>4926</v>
      </c>
      <c r="D55" s="880"/>
      <c r="G55" s="928">
        <v>5812</v>
      </c>
    </row>
    <row r="56" spans="2:7" ht="16.5" customHeight="1">
      <c r="B56" s="879"/>
      <c r="C56" s="879" t="s">
        <v>1675</v>
      </c>
      <c r="D56" s="880"/>
      <c r="G56" s="928">
        <v>5831</v>
      </c>
    </row>
    <row r="57" spans="2:7" ht="16.5" customHeight="1">
      <c r="B57" s="879"/>
      <c r="C57" s="879" t="s">
        <v>4927</v>
      </c>
      <c r="D57" s="880"/>
      <c r="G57" s="928">
        <v>5841</v>
      </c>
    </row>
    <row r="58" spans="2:7" ht="16.5" customHeight="1">
      <c r="B58" s="879"/>
      <c r="C58" s="879" t="s">
        <v>4928</v>
      </c>
      <c r="D58" s="880"/>
      <c r="G58" s="928">
        <v>5842</v>
      </c>
    </row>
    <row r="59" spans="2:7" ht="16.5" customHeight="1">
      <c r="B59" s="879"/>
      <c r="C59" s="879" t="s">
        <v>4929</v>
      </c>
      <c r="D59" s="880"/>
      <c r="G59" s="928">
        <v>5843</v>
      </c>
    </row>
    <row r="60" spans="2:7" ht="16.5" customHeight="1">
      <c r="B60" s="879"/>
      <c r="C60" s="879" t="s">
        <v>4930</v>
      </c>
      <c r="D60" s="880"/>
      <c r="G60" s="928">
        <v>5851</v>
      </c>
    </row>
    <row r="61" spans="2:7" ht="16.5" customHeight="1">
      <c r="B61" s="879"/>
      <c r="C61" s="879" t="s">
        <v>4931</v>
      </c>
      <c r="D61" s="880"/>
      <c r="G61" s="928">
        <v>5852</v>
      </c>
    </row>
    <row r="62" spans="2:7" ht="16.5" customHeight="1">
      <c r="B62" s="879"/>
      <c r="C62" s="879" t="s">
        <v>4932</v>
      </c>
      <c r="D62" s="880"/>
      <c r="G62" s="928">
        <v>5853</v>
      </c>
    </row>
    <row r="63" spans="2:7" ht="16.5" customHeight="1">
      <c r="B63" s="879"/>
      <c r="C63" s="879" t="s">
        <v>4933</v>
      </c>
      <c r="D63" s="880"/>
      <c r="G63" s="928">
        <v>5854</v>
      </c>
    </row>
    <row r="64" spans="2:7">
      <c r="B64" s="879"/>
      <c r="C64" s="879" t="s">
        <v>4934</v>
      </c>
      <c r="D64" s="880"/>
      <c r="G64" s="928">
        <v>5855</v>
      </c>
    </row>
    <row r="65" spans="2:7" ht="16.5" customHeight="1">
      <c r="B65" s="879"/>
      <c r="C65" s="879" t="s">
        <v>4935</v>
      </c>
      <c r="D65" s="880"/>
      <c r="G65" s="928">
        <v>5856</v>
      </c>
    </row>
    <row r="66" spans="2:7" ht="16.5" customHeight="1">
      <c r="B66" s="879"/>
      <c r="C66" s="879" t="s">
        <v>4652</v>
      </c>
      <c r="D66" s="880"/>
      <c r="G66" s="928">
        <v>5861</v>
      </c>
    </row>
    <row r="67" spans="2:7" ht="16.5" customHeight="1">
      <c r="B67" s="879"/>
      <c r="C67" s="879" t="s">
        <v>4936</v>
      </c>
      <c r="D67" s="880"/>
      <c r="G67" s="928">
        <v>5862</v>
      </c>
    </row>
    <row r="68" spans="2:7" ht="16.5" customHeight="1">
      <c r="B68" s="879"/>
      <c r="C68" s="879" t="s">
        <v>4937</v>
      </c>
      <c r="D68" s="880"/>
      <c r="G68" s="928">
        <v>5863</v>
      </c>
    </row>
    <row r="69" spans="2:7" ht="16.5" customHeight="1">
      <c r="B69" s="879"/>
      <c r="C69" s="879" t="s">
        <v>4938</v>
      </c>
      <c r="D69" s="880"/>
      <c r="G69" s="928">
        <v>5864</v>
      </c>
    </row>
    <row r="70" spans="2:7" ht="16.5" customHeight="1">
      <c r="B70" s="879"/>
      <c r="C70" s="879" t="s">
        <v>4939</v>
      </c>
      <c r="D70" s="880"/>
      <c r="G70" s="928">
        <v>5872</v>
      </c>
    </row>
    <row r="71" spans="2:7" ht="16.5" customHeight="1">
      <c r="B71" s="879"/>
      <c r="C71" s="879" t="s">
        <v>4940</v>
      </c>
      <c r="D71" s="880"/>
      <c r="G71" s="928">
        <v>5881</v>
      </c>
    </row>
    <row r="72" spans="2:7" ht="16.5" customHeight="1">
      <c r="B72" s="879"/>
      <c r="C72" s="879" t="s">
        <v>4755</v>
      </c>
      <c r="D72" s="880"/>
      <c r="G72" s="928">
        <v>5891</v>
      </c>
    </row>
    <row r="73" spans="2:7" ht="16.5" customHeight="1">
      <c r="B73" s="879"/>
      <c r="C73" s="879" t="s">
        <v>4941</v>
      </c>
      <c r="D73" s="880"/>
      <c r="G73" s="928">
        <v>5892</v>
      </c>
    </row>
    <row r="74" spans="2:7" ht="16.5" customHeight="1">
      <c r="B74" s="879"/>
      <c r="C74" s="879" t="s">
        <v>4942</v>
      </c>
      <c r="D74" s="880"/>
      <c r="G74" s="928">
        <v>5893</v>
      </c>
    </row>
    <row r="75" spans="2:7" ht="16.5" customHeight="1">
      <c r="B75" s="879"/>
      <c r="C75" s="879" t="s">
        <v>4943</v>
      </c>
      <c r="D75" s="880"/>
      <c r="G75" s="928">
        <v>5894</v>
      </c>
    </row>
    <row r="76" spans="2:7" ht="16.5" customHeight="1">
      <c r="B76" s="879"/>
      <c r="C76" s="879" t="s">
        <v>4944</v>
      </c>
      <c r="D76" s="880"/>
      <c r="G76" s="928">
        <v>5895</v>
      </c>
    </row>
    <row r="77" spans="2:7" ht="16.5" customHeight="1">
      <c r="B77" s="879"/>
      <c r="C77" s="879" t="s">
        <v>4945</v>
      </c>
      <c r="D77" s="880"/>
      <c r="G77" s="928">
        <v>5899</v>
      </c>
    </row>
    <row r="78" spans="2:7" ht="16.5" customHeight="1">
      <c r="B78" s="879"/>
      <c r="C78" s="879" t="s">
        <v>5009</v>
      </c>
      <c r="D78" s="880"/>
      <c r="G78" s="928">
        <v>5901</v>
      </c>
    </row>
    <row r="79" spans="2:7" ht="16.5" customHeight="1">
      <c r="B79" s="879"/>
      <c r="C79" s="879" t="s">
        <v>4946</v>
      </c>
      <c r="D79" s="880"/>
      <c r="G79" s="928">
        <v>5902</v>
      </c>
    </row>
    <row r="80" spans="2:7" ht="16.5" customHeight="1">
      <c r="B80" s="879"/>
      <c r="C80" s="879" t="s">
        <v>5007</v>
      </c>
      <c r="D80" s="880"/>
      <c r="G80" s="928">
        <v>5903</v>
      </c>
    </row>
    <row r="81" spans="2:7" ht="16.5" customHeight="1">
      <c r="B81" s="879"/>
      <c r="C81" s="879" t="s">
        <v>5008</v>
      </c>
      <c r="D81" s="880"/>
      <c r="G81" s="928">
        <v>5904</v>
      </c>
    </row>
    <row r="82" spans="2:7" ht="16.5" customHeight="1">
      <c r="B82" s="879"/>
      <c r="C82" s="879" t="s">
        <v>4947</v>
      </c>
      <c r="D82" s="880"/>
      <c r="G82" s="928">
        <v>5905</v>
      </c>
    </row>
    <row r="83" spans="2:7" ht="16.5" customHeight="1">
      <c r="B83" s="879"/>
      <c r="C83" s="879" t="s">
        <v>5006</v>
      </c>
      <c r="D83" s="880"/>
      <c r="G83" s="928">
        <v>5906</v>
      </c>
    </row>
    <row r="84" spans="2:7" ht="16.5" customHeight="1">
      <c r="B84" s="879"/>
      <c r="C84" s="879" t="s">
        <v>4948</v>
      </c>
      <c r="D84" s="880"/>
      <c r="G84" s="928">
        <v>6001</v>
      </c>
    </row>
    <row r="85" spans="2:7" ht="16.5" customHeight="1">
      <c r="B85" s="879"/>
      <c r="C85" s="879" t="s">
        <v>4949</v>
      </c>
      <c r="D85" s="880"/>
      <c r="G85" s="928">
        <v>6002</v>
      </c>
    </row>
    <row r="86" spans="2:7" ht="16.5" customHeight="1">
      <c r="B86" s="879"/>
      <c r="C86" s="879" t="s">
        <v>4950</v>
      </c>
      <c r="D86" s="880"/>
      <c r="G86" s="928">
        <v>6003</v>
      </c>
    </row>
    <row r="87" spans="2:7" ht="16.5" customHeight="1">
      <c r="B87" s="879"/>
      <c r="C87" s="879" t="s">
        <v>5004</v>
      </c>
      <c r="D87" s="880"/>
      <c r="G87" s="928">
        <v>6004</v>
      </c>
    </row>
    <row r="88" spans="2:7" ht="16.5" customHeight="1">
      <c r="B88" s="879"/>
      <c r="C88" s="879" t="s">
        <v>4951</v>
      </c>
      <c r="D88" s="880"/>
      <c r="G88" s="928">
        <v>6010</v>
      </c>
    </row>
    <row r="89" spans="2:7" ht="16.5" customHeight="1">
      <c r="B89" s="879"/>
      <c r="C89" s="879" t="s">
        <v>5003</v>
      </c>
      <c r="D89" s="880"/>
      <c r="G89" s="928">
        <v>6011</v>
      </c>
    </row>
    <row r="90" spans="2:7" ht="16.5" customHeight="1">
      <c r="B90" s="879"/>
      <c r="C90" s="879" t="s">
        <v>4952</v>
      </c>
      <c r="D90" s="880"/>
      <c r="G90" s="928">
        <v>6012</v>
      </c>
    </row>
    <row r="91" spans="2:7" ht="16.5" customHeight="1">
      <c r="B91" s="879"/>
      <c r="C91" s="879" t="s">
        <v>4953</v>
      </c>
      <c r="D91" s="880"/>
      <c r="G91" s="928">
        <v>6019</v>
      </c>
    </row>
    <row r="92" spans="2:7" ht="16.5" customHeight="1">
      <c r="B92" s="879"/>
      <c r="C92" s="879" t="s">
        <v>5005</v>
      </c>
      <c r="D92" s="880"/>
      <c r="G92" s="928">
        <v>6021</v>
      </c>
    </row>
    <row r="93" spans="2:7" ht="16.5" customHeight="1">
      <c r="B93" s="879"/>
      <c r="C93" s="879" t="s">
        <v>4954</v>
      </c>
      <c r="D93" s="880"/>
      <c r="G93" s="928">
        <v>6121</v>
      </c>
    </row>
    <row r="94" spans="2:7" ht="16.5" customHeight="1">
      <c r="B94" s="879"/>
      <c r="C94" s="879" t="s">
        <v>4955</v>
      </c>
      <c r="D94" s="880"/>
      <c r="G94" s="928">
        <v>6211</v>
      </c>
    </row>
    <row r="95" spans="2:7" ht="16.5" customHeight="1">
      <c r="B95" s="879"/>
      <c r="C95" s="879" t="s">
        <v>4956</v>
      </c>
      <c r="D95" s="880"/>
      <c r="G95" s="928">
        <v>6212</v>
      </c>
    </row>
    <row r="96" spans="2:7">
      <c r="B96" s="879"/>
      <c r="C96" s="879" t="s">
        <v>4957</v>
      </c>
      <c r="D96" s="879"/>
      <c r="G96" s="928">
        <v>6213</v>
      </c>
    </row>
    <row r="97" spans="2:7">
      <c r="B97" s="879"/>
      <c r="C97" s="879" t="s">
        <v>4994</v>
      </c>
      <c r="D97" s="879"/>
      <c r="G97" s="928">
        <v>6321</v>
      </c>
    </row>
    <row r="98" spans="2:7">
      <c r="B98" s="879"/>
      <c r="C98" s="879" t="s">
        <v>4995</v>
      </c>
      <c r="D98" s="879"/>
      <c r="G98" s="928">
        <v>7019</v>
      </c>
    </row>
    <row r="99" spans="2:7">
      <c r="B99" s="879"/>
      <c r="C99" s="879" t="s">
        <v>4996</v>
      </c>
      <c r="D99" s="879"/>
      <c r="G99" s="928">
        <v>7211</v>
      </c>
    </row>
    <row r="100" spans="2:7">
      <c r="B100" s="879"/>
      <c r="C100" s="879" t="s">
        <v>1682</v>
      </c>
      <c r="D100" s="879"/>
      <c r="G100" s="928">
        <v>7241</v>
      </c>
    </row>
    <row r="101" spans="2:7">
      <c r="B101" s="879"/>
      <c r="C101" s="879" t="s">
        <v>5002</v>
      </c>
      <c r="D101" s="879"/>
      <c r="G101" s="928">
        <v>7251</v>
      </c>
    </row>
    <row r="102" spans="2:7">
      <c r="B102" s="879"/>
      <c r="C102" s="879" t="s">
        <v>4997</v>
      </c>
      <c r="D102" s="879"/>
      <c r="G102" s="928">
        <v>7252</v>
      </c>
    </row>
    <row r="103" spans="2:7">
      <c r="B103" s="879"/>
      <c r="C103" s="879" t="s">
        <v>4998</v>
      </c>
      <c r="D103" s="879"/>
      <c r="G103" s="928">
        <v>7253</v>
      </c>
    </row>
    <row r="104" spans="2:7">
      <c r="B104" s="879"/>
      <c r="C104" s="879" t="s">
        <v>4999</v>
      </c>
      <c r="D104" s="879"/>
      <c r="G104" s="928">
        <v>7301</v>
      </c>
    </row>
    <row r="105" spans="2:7">
      <c r="B105" s="879"/>
      <c r="C105" s="879" t="s">
        <v>5000</v>
      </c>
      <c r="D105" s="879"/>
      <c r="G105" s="928">
        <v>7311</v>
      </c>
    </row>
    <row r="106" spans="2:7">
      <c r="B106" s="879"/>
      <c r="C106" s="879" t="s">
        <v>4265</v>
      </c>
      <c r="D106" s="879"/>
      <c r="G106" s="928">
        <v>7511</v>
      </c>
    </row>
    <row r="107" spans="2:7">
      <c r="B107" s="879"/>
      <c r="C107" s="879" t="s">
        <v>5001</v>
      </c>
      <c r="D107" s="879"/>
      <c r="G107" s="928">
        <v>7512</v>
      </c>
    </row>
    <row r="108" spans="2:7">
      <c r="B108" s="879"/>
      <c r="C108" s="879" t="s">
        <v>4958</v>
      </c>
      <c r="D108" s="879"/>
      <c r="G108" s="928">
        <v>7541</v>
      </c>
    </row>
    <row r="109" spans="2:7">
      <c r="B109" s="879"/>
      <c r="C109" s="879" t="s">
        <v>4959</v>
      </c>
      <c r="D109" s="879"/>
      <c r="G109" s="928">
        <v>7613</v>
      </c>
    </row>
    <row r="110" spans="2:7">
      <c r="B110" s="879"/>
      <c r="C110" s="879" t="s">
        <v>4960</v>
      </c>
      <c r="D110" s="879"/>
      <c r="G110" s="928">
        <v>7641</v>
      </c>
    </row>
    <row r="111" spans="2:7">
      <c r="B111" s="879"/>
      <c r="C111" s="879" t="s">
        <v>4961</v>
      </c>
      <c r="D111" s="879"/>
      <c r="G111" s="928">
        <v>7642</v>
      </c>
    </row>
    <row r="112" spans="2:7">
      <c r="B112" s="879"/>
      <c r="C112" s="879" t="s">
        <v>4962</v>
      </c>
      <c r="D112" s="879"/>
      <c r="G112" s="928">
        <v>7643</v>
      </c>
    </row>
    <row r="113" spans="2:7">
      <c r="B113" s="879"/>
      <c r="C113" s="879" t="s">
        <v>4222</v>
      </c>
      <c r="D113" s="879"/>
      <c r="G113" s="928">
        <v>7691</v>
      </c>
    </row>
    <row r="114" spans="2:7">
      <c r="B114" s="879"/>
      <c r="C114" s="879" t="s">
        <v>4993</v>
      </c>
      <c r="D114" s="879"/>
      <c r="G114" s="928">
        <v>7692</v>
      </c>
    </row>
    <row r="115" spans="2:7">
      <c r="B115" s="879"/>
      <c r="C115" s="879" t="s">
        <v>4963</v>
      </c>
      <c r="D115" s="879"/>
      <c r="G115" s="928">
        <v>7811</v>
      </c>
    </row>
    <row r="116" spans="2:7">
      <c r="B116" s="879"/>
      <c r="C116" s="879" t="s">
        <v>4964</v>
      </c>
      <c r="D116" s="879"/>
      <c r="G116" s="928">
        <v>7812</v>
      </c>
    </row>
    <row r="117" spans="2:7">
      <c r="B117" s="879"/>
      <c r="C117" s="879" t="s">
        <v>4965</v>
      </c>
      <c r="D117" s="879"/>
      <c r="G117" s="928">
        <v>7813</v>
      </c>
    </row>
    <row r="118" spans="2:7">
      <c r="B118" s="879"/>
      <c r="C118" s="879" t="s">
        <v>4991</v>
      </c>
      <c r="D118" s="879"/>
      <c r="G118" s="928">
        <v>7814</v>
      </c>
    </row>
    <row r="119" spans="2:7">
      <c r="B119" s="879"/>
      <c r="C119" s="879" t="s">
        <v>4966</v>
      </c>
      <c r="D119" s="879"/>
      <c r="G119" s="928">
        <v>7815</v>
      </c>
    </row>
    <row r="120" spans="2:7">
      <c r="B120" s="879"/>
      <c r="C120" s="879" t="s">
        <v>4967</v>
      </c>
      <c r="D120" s="879"/>
      <c r="G120" s="928">
        <v>7816</v>
      </c>
    </row>
    <row r="121" spans="2:7">
      <c r="B121" s="879"/>
      <c r="C121" s="879" t="s">
        <v>4968</v>
      </c>
      <c r="D121" s="879"/>
      <c r="G121" s="928">
        <v>7817</v>
      </c>
    </row>
    <row r="122" spans="2:7">
      <c r="B122" s="879"/>
      <c r="C122" s="879" t="s">
        <v>4969</v>
      </c>
      <c r="D122" s="879"/>
      <c r="G122" s="928">
        <v>7818</v>
      </c>
    </row>
    <row r="123" spans="2:7">
      <c r="B123" s="879"/>
      <c r="C123" s="879" t="s">
        <v>4970</v>
      </c>
      <c r="D123" s="879"/>
      <c r="G123" s="928">
        <v>7821</v>
      </c>
    </row>
    <row r="124" spans="2:7">
      <c r="B124" s="879"/>
      <c r="C124" s="879" t="s">
        <v>4971</v>
      </c>
      <c r="D124" s="879"/>
      <c r="G124" s="928">
        <v>7822</v>
      </c>
    </row>
    <row r="125" spans="2:7">
      <c r="B125" s="879"/>
      <c r="C125" s="879" t="s">
        <v>4972</v>
      </c>
      <c r="D125" s="879"/>
      <c r="G125" s="928">
        <v>7823</v>
      </c>
    </row>
    <row r="126" spans="2:7">
      <c r="B126" s="879"/>
      <c r="C126" s="879" t="s">
        <v>4973</v>
      </c>
      <c r="D126" s="879"/>
      <c r="G126" s="928">
        <v>8011</v>
      </c>
    </row>
    <row r="127" spans="2:7">
      <c r="B127" s="879"/>
      <c r="C127" s="879" t="s">
        <v>4974</v>
      </c>
      <c r="D127" s="879"/>
      <c r="G127" s="928">
        <v>8111</v>
      </c>
    </row>
    <row r="128" spans="2:7">
      <c r="B128" s="879"/>
      <c r="C128" s="879" t="s">
        <v>4975</v>
      </c>
      <c r="D128" s="879"/>
      <c r="G128" s="928">
        <v>8291</v>
      </c>
    </row>
    <row r="129" spans="2:7">
      <c r="B129" s="879"/>
      <c r="C129" s="879" t="s">
        <v>4976</v>
      </c>
      <c r="D129" s="879"/>
      <c r="G129" s="928">
        <v>8321</v>
      </c>
    </row>
    <row r="130" spans="2:7">
      <c r="B130" s="879"/>
      <c r="C130" s="879" t="s">
        <v>4977</v>
      </c>
      <c r="D130" s="879"/>
      <c r="G130" s="928">
        <v>8331</v>
      </c>
    </row>
    <row r="131" spans="2:7">
      <c r="B131" s="879"/>
      <c r="C131" s="879" t="s">
        <v>4978</v>
      </c>
      <c r="D131" s="879"/>
      <c r="G131" s="928">
        <v>8401</v>
      </c>
    </row>
    <row r="132" spans="2:7">
      <c r="B132" s="879"/>
      <c r="C132" s="879" t="s">
        <v>4979</v>
      </c>
      <c r="D132" s="879"/>
      <c r="G132" s="928">
        <v>8441</v>
      </c>
    </row>
    <row r="133" spans="2:7">
      <c r="B133" s="879"/>
      <c r="C133" s="879" t="s">
        <v>4980</v>
      </c>
      <c r="D133" s="879"/>
      <c r="G133" s="928">
        <v>8451</v>
      </c>
    </row>
    <row r="134" spans="2:7">
      <c r="B134" s="879"/>
      <c r="C134" s="879" t="s">
        <v>4992</v>
      </c>
      <c r="D134" s="879"/>
      <c r="G134" s="928">
        <v>8561</v>
      </c>
    </row>
    <row r="135" spans="2:7">
      <c r="B135" s="879"/>
      <c r="C135" s="879" t="s">
        <v>4981</v>
      </c>
      <c r="D135" s="879"/>
      <c r="G135" s="928">
        <v>8711</v>
      </c>
    </row>
    <row r="136" spans="2:7">
      <c r="B136" s="879"/>
      <c r="C136" s="879" t="s">
        <v>4982</v>
      </c>
      <c r="D136" s="879"/>
      <c r="G136" s="928">
        <v>8712</v>
      </c>
    </row>
    <row r="137" spans="2:7">
      <c r="B137" s="879"/>
      <c r="C137" s="879" t="s">
        <v>4983</v>
      </c>
      <c r="D137" s="879"/>
      <c r="G137" s="928">
        <v>8713</v>
      </c>
    </row>
    <row r="138" spans="2:7">
      <c r="B138" s="879"/>
      <c r="C138" s="879" t="s">
        <v>4984</v>
      </c>
      <c r="D138" s="879"/>
      <c r="G138" s="928">
        <v>8714</v>
      </c>
    </row>
    <row r="139" spans="2:7">
      <c r="B139" s="879"/>
      <c r="C139" s="879" t="s">
        <v>4985</v>
      </c>
      <c r="D139" s="879"/>
      <c r="G139" s="928">
        <v>9171</v>
      </c>
    </row>
    <row r="140" spans="2:7">
      <c r="B140" s="879"/>
      <c r="C140" s="879" t="s">
        <v>4986</v>
      </c>
      <c r="D140" s="879"/>
      <c r="G140" s="928">
        <v>9401</v>
      </c>
    </row>
    <row r="141" spans="2:7">
      <c r="B141" s="879"/>
      <c r="C141" s="879" t="s">
        <v>4987</v>
      </c>
      <c r="D141" s="879"/>
      <c r="G141" s="928">
        <v>9402</v>
      </c>
    </row>
    <row r="142" spans="2:7">
      <c r="B142" s="879"/>
      <c r="C142" s="879" t="s">
        <v>4988</v>
      </c>
      <c r="D142" s="879"/>
      <c r="G142" s="928">
        <v>9491</v>
      </c>
    </row>
    <row r="143" spans="2:7">
      <c r="B143" s="879"/>
      <c r="C143" s="879" t="s">
        <v>4989</v>
      </c>
      <c r="D143" s="879"/>
      <c r="G143" s="928">
        <v>9501</v>
      </c>
    </row>
    <row r="144" spans="2:7">
      <c r="B144" s="879"/>
      <c r="C144" s="879" t="s">
        <v>4990</v>
      </c>
      <c r="D144" s="879"/>
      <c r="G144" s="928">
        <v>9503</v>
      </c>
    </row>
  </sheetData>
  <sheetProtection password="842B" sheet="1" objects="1" scenarios="1" selectLockedCells="1" selectUnlockedCells="1"/>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Option Button 1">
              <controlPr defaultSize="0" autoFill="0" autoLine="0" autoPict="0">
                <anchor moveWithCells="1">
                  <from>
                    <xdr:col>1</xdr:col>
                    <xdr:colOff>438150</xdr:colOff>
                    <xdr:row>6</xdr:row>
                    <xdr:rowOff>31750</xdr:rowOff>
                  </from>
                  <to>
                    <xdr:col>1</xdr:col>
                    <xdr:colOff>990600</xdr:colOff>
                    <xdr:row>6</xdr:row>
                    <xdr:rowOff>184150</xdr:rowOff>
                  </to>
                </anchor>
              </controlPr>
            </control>
          </mc:Choice>
        </mc:AlternateContent>
        <mc:AlternateContent xmlns:mc="http://schemas.openxmlformats.org/markup-compatibility/2006">
          <mc:Choice Requires="x14">
            <control shapeId="144386" r:id="rId4" name="Option Button 2">
              <controlPr defaultSize="0" autoFill="0" autoLine="0" autoPict="0">
                <anchor moveWithCells="1">
                  <from>
                    <xdr:col>1</xdr:col>
                    <xdr:colOff>438150</xdr:colOff>
                    <xdr:row>7</xdr:row>
                    <xdr:rowOff>31750</xdr:rowOff>
                  </from>
                  <to>
                    <xdr:col>1</xdr:col>
                    <xdr:colOff>990600</xdr:colOff>
                    <xdr:row>7</xdr:row>
                    <xdr:rowOff>184150</xdr:rowOff>
                  </to>
                </anchor>
              </controlPr>
            </control>
          </mc:Choice>
        </mc:AlternateContent>
        <mc:AlternateContent xmlns:mc="http://schemas.openxmlformats.org/markup-compatibility/2006">
          <mc:Choice Requires="x14">
            <control shapeId="144387" r:id="rId5" name="Option Button 3">
              <controlPr defaultSize="0" autoFill="0" autoLine="0" autoPict="0">
                <anchor moveWithCells="1">
                  <from>
                    <xdr:col>1</xdr:col>
                    <xdr:colOff>438150</xdr:colOff>
                    <xdr:row>8</xdr:row>
                    <xdr:rowOff>31750</xdr:rowOff>
                  </from>
                  <to>
                    <xdr:col>1</xdr:col>
                    <xdr:colOff>990600</xdr:colOff>
                    <xdr:row>8</xdr:row>
                    <xdr:rowOff>184150</xdr:rowOff>
                  </to>
                </anchor>
              </controlPr>
            </control>
          </mc:Choice>
        </mc:AlternateContent>
        <mc:AlternateContent xmlns:mc="http://schemas.openxmlformats.org/markup-compatibility/2006">
          <mc:Choice Requires="x14">
            <control shapeId="144388" r:id="rId6" name="Option Button 4">
              <controlPr defaultSize="0" autoFill="0" autoLine="0" autoPict="0">
                <anchor moveWithCells="1">
                  <from>
                    <xdr:col>1</xdr:col>
                    <xdr:colOff>438150</xdr:colOff>
                    <xdr:row>9</xdr:row>
                    <xdr:rowOff>31750</xdr:rowOff>
                  </from>
                  <to>
                    <xdr:col>1</xdr:col>
                    <xdr:colOff>990600</xdr:colOff>
                    <xdr:row>9</xdr:row>
                    <xdr:rowOff>184150</xdr:rowOff>
                  </to>
                </anchor>
              </controlPr>
            </control>
          </mc:Choice>
        </mc:AlternateContent>
        <mc:AlternateContent xmlns:mc="http://schemas.openxmlformats.org/markup-compatibility/2006">
          <mc:Choice Requires="x14">
            <control shapeId="144389" r:id="rId7" name="Option Button 5">
              <controlPr defaultSize="0" autoFill="0" autoLine="0" autoPict="0">
                <anchor moveWithCells="1">
                  <from>
                    <xdr:col>1</xdr:col>
                    <xdr:colOff>438150</xdr:colOff>
                    <xdr:row>10</xdr:row>
                    <xdr:rowOff>31750</xdr:rowOff>
                  </from>
                  <to>
                    <xdr:col>1</xdr:col>
                    <xdr:colOff>990600</xdr:colOff>
                    <xdr:row>10</xdr:row>
                    <xdr:rowOff>184150</xdr:rowOff>
                  </to>
                </anchor>
              </controlPr>
            </control>
          </mc:Choice>
        </mc:AlternateContent>
        <mc:AlternateContent xmlns:mc="http://schemas.openxmlformats.org/markup-compatibility/2006">
          <mc:Choice Requires="x14">
            <control shapeId="144390" r:id="rId8" name="Option Button 6">
              <controlPr defaultSize="0" autoFill="0" autoLine="0" autoPict="0">
                <anchor moveWithCells="1">
                  <from>
                    <xdr:col>1</xdr:col>
                    <xdr:colOff>438150</xdr:colOff>
                    <xdr:row>11</xdr:row>
                    <xdr:rowOff>31750</xdr:rowOff>
                  </from>
                  <to>
                    <xdr:col>1</xdr:col>
                    <xdr:colOff>990600</xdr:colOff>
                    <xdr:row>11</xdr:row>
                    <xdr:rowOff>184150</xdr:rowOff>
                  </to>
                </anchor>
              </controlPr>
            </control>
          </mc:Choice>
        </mc:AlternateContent>
        <mc:AlternateContent xmlns:mc="http://schemas.openxmlformats.org/markup-compatibility/2006">
          <mc:Choice Requires="x14">
            <control shapeId="144391" r:id="rId9" name="Option Button 7">
              <controlPr defaultSize="0" autoFill="0" autoLine="0" autoPict="0">
                <anchor moveWithCells="1">
                  <from>
                    <xdr:col>1</xdr:col>
                    <xdr:colOff>438150</xdr:colOff>
                    <xdr:row>12</xdr:row>
                    <xdr:rowOff>31750</xdr:rowOff>
                  </from>
                  <to>
                    <xdr:col>1</xdr:col>
                    <xdr:colOff>990600</xdr:colOff>
                    <xdr:row>12</xdr:row>
                    <xdr:rowOff>184150</xdr:rowOff>
                  </to>
                </anchor>
              </controlPr>
            </control>
          </mc:Choice>
        </mc:AlternateContent>
        <mc:AlternateContent xmlns:mc="http://schemas.openxmlformats.org/markup-compatibility/2006">
          <mc:Choice Requires="x14">
            <control shapeId="144392" r:id="rId10" name="Option Button 8">
              <controlPr defaultSize="0" autoFill="0" autoLine="0" autoPict="0">
                <anchor moveWithCells="1">
                  <from>
                    <xdr:col>1</xdr:col>
                    <xdr:colOff>438150</xdr:colOff>
                    <xdr:row>13</xdr:row>
                    <xdr:rowOff>31750</xdr:rowOff>
                  </from>
                  <to>
                    <xdr:col>1</xdr:col>
                    <xdr:colOff>990600</xdr:colOff>
                    <xdr:row>13</xdr:row>
                    <xdr:rowOff>184150</xdr:rowOff>
                  </to>
                </anchor>
              </controlPr>
            </control>
          </mc:Choice>
        </mc:AlternateContent>
        <mc:AlternateContent xmlns:mc="http://schemas.openxmlformats.org/markup-compatibility/2006">
          <mc:Choice Requires="x14">
            <control shapeId="144393" r:id="rId11" name="Option Button 9">
              <controlPr defaultSize="0" autoFill="0" autoLine="0" autoPict="0">
                <anchor moveWithCells="1">
                  <from>
                    <xdr:col>1</xdr:col>
                    <xdr:colOff>438150</xdr:colOff>
                    <xdr:row>14</xdr:row>
                    <xdr:rowOff>31750</xdr:rowOff>
                  </from>
                  <to>
                    <xdr:col>1</xdr:col>
                    <xdr:colOff>990600</xdr:colOff>
                    <xdr:row>14</xdr:row>
                    <xdr:rowOff>184150</xdr:rowOff>
                  </to>
                </anchor>
              </controlPr>
            </control>
          </mc:Choice>
        </mc:AlternateContent>
        <mc:AlternateContent xmlns:mc="http://schemas.openxmlformats.org/markup-compatibility/2006">
          <mc:Choice Requires="x14">
            <control shapeId="144394" r:id="rId12" name="Option Button 10">
              <controlPr defaultSize="0" autoFill="0" autoLine="0" autoPict="0">
                <anchor moveWithCells="1">
                  <from>
                    <xdr:col>1</xdr:col>
                    <xdr:colOff>438150</xdr:colOff>
                    <xdr:row>15</xdr:row>
                    <xdr:rowOff>31750</xdr:rowOff>
                  </from>
                  <to>
                    <xdr:col>1</xdr:col>
                    <xdr:colOff>990600</xdr:colOff>
                    <xdr:row>15</xdr:row>
                    <xdr:rowOff>184150</xdr:rowOff>
                  </to>
                </anchor>
              </controlPr>
            </control>
          </mc:Choice>
        </mc:AlternateContent>
        <mc:AlternateContent xmlns:mc="http://schemas.openxmlformats.org/markup-compatibility/2006">
          <mc:Choice Requires="x14">
            <control shapeId="144395" r:id="rId13" name="Option Button 11">
              <controlPr defaultSize="0" autoFill="0" autoLine="0" autoPict="0">
                <anchor moveWithCells="1">
                  <from>
                    <xdr:col>1</xdr:col>
                    <xdr:colOff>438150</xdr:colOff>
                    <xdr:row>16</xdr:row>
                    <xdr:rowOff>31750</xdr:rowOff>
                  </from>
                  <to>
                    <xdr:col>1</xdr:col>
                    <xdr:colOff>990600</xdr:colOff>
                    <xdr:row>16</xdr:row>
                    <xdr:rowOff>184150</xdr:rowOff>
                  </to>
                </anchor>
              </controlPr>
            </control>
          </mc:Choice>
        </mc:AlternateContent>
        <mc:AlternateContent xmlns:mc="http://schemas.openxmlformats.org/markup-compatibility/2006">
          <mc:Choice Requires="x14">
            <control shapeId="144396" r:id="rId14" name="Option Button 12">
              <controlPr defaultSize="0" autoFill="0" autoLine="0" autoPict="0">
                <anchor moveWithCells="1">
                  <from>
                    <xdr:col>1</xdr:col>
                    <xdr:colOff>438150</xdr:colOff>
                    <xdr:row>17</xdr:row>
                    <xdr:rowOff>31750</xdr:rowOff>
                  </from>
                  <to>
                    <xdr:col>1</xdr:col>
                    <xdr:colOff>990600</xdr:colOff>
                    <xdr:row>17</xdr:row>
                    <xdr:rowOff>184150</xdr:rowOff>
                  </to>
                </anchor>
              </controlPr>
            </control>
          </mc:Choice>
        </mc:AlternateContent>
        <mc:AlternateContent xmlns:mc="http://schemas.openxmlformats.org/markup-compatibility/2006">
          <mc:Choice Requires="x14">
            <control shapeId="144397" r:id="rId15" name="Option Button 13">
              <controlPr defaultSize="0" autoFill="0" autoLine="0" autoPict="0">
                <anchor moveWithCells="1">
                  <from>
                    <xdr:col>1</xdr:col>
                    <xdr:colOff>438150</xdr:colOff>
                    <xdr:row>18</xdr:row>
                    <xdr:rowOff>31750</xdr:rowOff>
                  </from>
                  <to>
                    <xdr:col>1</xdr:col>
                    <xdr:colOff>990600</xdr:colOff>
                    <xdr:row>18</xdr:row>
                    <xdr:rowOff>184150</xdr:rowOff>
                  </to>
                </anchor>
              </controlPr>
            </control>
          </mc:Choice>
        </mc:AlternateContent>
        <mc:AlternateContent xmlns:mc="http://schemas.openxmlformats.org/markup-compatibility/2006">
          <mc:Choice Requires="x14">
            <control shapeId="144398" r:id="rId16" name="Option Button 14">
              <controlPr defaultSize="0" autoFill="0" autoLine="0" autoPict="0">
                <anchor moveWithCells="1">
                  <from>
                    <xdr:col>1</xdr:col>
                    <xdr:colOff>438150</xdr:colOff>
                    <xdr:row>19</xdr:row>
                    <xdr:rowOff>31750</xdr:rowOff>
                  </from>
                  <to>
                    <xdr:col>1</xdr:col>
                    <xdr:colOff>990600</xdr:colOff>
                    <xdr:row>19</xdr:row>
                    <xdr:rowOff>184150</xdr:rowOff>
                  </to>
                </anchor>
              </controlPr>
            </control>
          </mc:Choice>
        </mc:AlternateContent>
        <mc:AlternateContent xmlns:mc="http://schemas.openxmlformats.org/markup-compatibility/2006">
          <mc:Choice Requires="x14">
            <control shapeId="144399" r:id="rId17" name="Option Button 15">
              <controlPr defaultSize="0" autoFill="0" autoLine="0" autoPict="0">
                <anchor moveWithCells="1">
                  <from>
                    <xdr:col>1</xdr:col>
                    <xdr:colOff>438150</xdr:colOff>
                    <xdr:row>20</xdr:row>
                    <xdr:rowOff>31750</xdr:rowOff>
                  </from>
                  <to>
                    <xdr:col>1</xdr:col>
                    <xdr:colOff>990600</xdr:colOff>
                    <xdr:row>20</xdr:row>
                    <xdr:rowOff>184150</xdr:rowOff>
                  </to>
                </anchor>
              </controlPr>
            </control>
          </mc:Choice>
        </mc:AlternateContent>
        <mc:AlternateContent xmlns:mc="http://schemas.openxmlformats.org/markup-compatibility/2006">
          <mc:Choice Requires="x14">
            <control shapeId="144400" r:id="rId18" name="Option Button 16">
              <controlPr defaultSize="0" autoFill="0" autoLine="0" autoPict="0">
                <anchor moveWithCells="1">
                  <from>
                    <xdr:col>1</xdr:col>
                    <xdr:colOff>438150</xdr:colOff>
                    <xdr:row>21</xdr:row>
                    <xdr:rowOff>31750</xdr:rowOff>
                  </from>
                  <to>
                    <xdr:col>1</xdr:col>
                    <xdr:colOff>990600</xdr:colOff>
                    <xdr:row>21</xdr:row>
                    <xdr:rowOff>184150</xdr:rowOff>
                  </to>
                </anchor>
              </controlPr>
            </control>
          </mc:Choice>
        </mc:AlternateContent>
        <mc:AlternateContent xmlns:mc="http://schemas.openxmlformats.org/markup-compatibility/2006">
          <mc:Choice Requires="x14">
            <control shapeId="144401" r:id="rId19" name="Option Button 17">
              <controlPr defaultSize="0" autoFill="0" autoLine="0" autoPict="0">
                <anchor moveWithCells="1">
                  <from>
                    <xdr:col>1</xdr:col>
                    <xdr:colOff>438150</xdr:colOff>
                    <xdr:row>22</xdr:row>
                    <xdr:rowOff>31750</xdr:rowOff>
                  </from>
                  <to>
                    <xdr:col>1</xdr:col>
                    <xdr:colOff>990600</xdr:colOff>
                    <xdr:row>22</xdr:row>
                    <xdr:rowOff>184150</xdr:rowOff>
                  </to>
                </anchor>
              </controlPr>
            </control>
          </mc:Choice>
        </mc:AlternateContent>
        <mc:AlternateContent xmlns:mc="http://schemas.openxmlformats.org/markup-compatibility/2006">
          <mc:Choice Requires="x14">
            <control shapeId="144402" r:id="rId20" name="Option Button 18">
              <controlPr defaultSize="0" autoFill="0" autoLine="0" autoPict="0">
                <anchor moveWithCells="1">
                  <from>
                    <xdr:col>1</xdr:col>
                    <xdr:colOff>438150</xdr:colOff>
                    <xdr:row>23</xdr:row>
                    <xdr:rowOff>31750</xdr:rowOff>
                  </from>
                  <to>
                    <xdr:col>1</xdr:col>
                    <xdr:colOff>990600</xdr:colOff>
                    <xdr:row>23</xdr:row>
                    <xdr:rowOff>184150</xdr:rowOff>
                  </to>
                </anchor>
              </controlPr>
            </control>
          </mc:Choice>
        </mc:AlternateContent>
        <mc:AlternateContent xmlns:mc="http://schemas.openxmlformats.org/markup-compatibility/2006">
          <mc:Choice Requires="x14">
            <control shapeId="144403" r:id="rId21" name="Option Button 19">
              <controlPr defaultSize="0" autoFill="0" autoLine="0" autoPict="0">
                <anchor moveWithCells="1">
                  <from>
                    <xdr:col>1</xdr:col>
                    <xdr:colOff>438150</xdr:colOff>
                    <xdr:row>24</xdr:row>
                    <xdr:rowOff>31750</xdr:rowOff>
                  </from>
                  <to>
                    <xdr:col>1</xdr:col>
                    <xdr:colOff>990600</xdr:colOff>
                    <xdr:row>24</xdr:row>
                    <xdr:rowOff>184150</xdr:rowOff>
                  </to>
                </anchor>
              </controlPr>
            </control>
          </mc:Choice>
        </mc:AlternateContent>
        <mc:AlternateContent xmlns:mc="http://schemas.openxmlformats.org/markup-compatibility/2006">
          <mc:Choice Requires="x14">
            <control shapeId="144404" r:id="rId22" name="Option Button 20">
              <controlPr defaultSize="0" autoFill="0" autoLine="0" autoPict="0">
                <anchor moveWithCells="1">
                  <from>
                    <xdr:col>1</xdr:col>
                    <xdr:colOff>438150</xdr:colOff>
                    <xdr:row>25</xdr:row>
                    <xdr:rowOff>31750</xdr:rowOff>
                  </from>
                  <to>
                    <xdr:col>1</xdr:col>
                    <xdr:colOff>990600</xdr:colOff>
                    <xdr:row>25</xdr:row>
                    <xdr:rowOff>184150</xdr:rowOff>
                  </to>
                </anchor>
              </controlPr>
            </control>
          </mc:Choice>
        </mc:AlternateContent>
        <mc:AlternateContent xmlns:mc="http://schemas.openxmlformats.org/markup-compatibility/2006">
          <mc:Choice Requires="x14">
            <control shapeId="144405" r:id="rId23" name="Option Button 21">
              <controlPr defaultSize="0" autoFill="0" autoLine="0" autoPict="0">
                <anchor moveWithCells="1">
                  <from>
                    <xdr:col>1</xdr:col>
                    <xdr:colOff>438150</xdr:colOff>
                    <xdr:row>26</xdr:row>
                    <xdr:rowOff>31750</xdr:rowOff>
                  </from>
                  <to>
                    <xdr:col>1</xdr:col>
                    <xdr:colOff>990600</xdr:colOff>
                    <xdr:row>26</xdr:row>
                    <xdr:rowOff>184150</xdr:rowOff>
                  </to>
                </anchor>
              </controlPr>
            </control>
          </mc:Choice>
        </mc:AlternateContent>
        <mc:AlternateContent xmlns:mc="http://schemas.openxmlformats.org/markup-compatibility/2006">
          <mc:Choice Requires="x14">
            <control shapeId="144406" r:id="rId24" name="Option Button 22">
              <controlPr defaultSize="0" autoFill="0" autoLine="0" autoPict="0">
                <anchor moveWithCells="1">
                  <from>
                    <xdr:col>1</xdr:col>
                    <xdr:colOff>438150</xdr:colOff>
                    <xdr:row>27</xdr:row>
                    <xdr:rowOff>31750</xdr:rowOff>
                  </from>
                  <to>
                    <xdr:col>1</xdr:col>
                    <xdr:colOff>990600</xdr:colOff>
                    <xdr:row>27</xdr:row>
                    <xdr:rowOff>184150</xdr:rowOff>
                  </to>
                </anchor>
              </controlPr>
            </control>
          </mc:Choice>
        </mc:AlternateContent>
        <mc:AlternateContent xmlns:mc="http://schemas.openxmlformats.org/markup-compatibility/2006">
          <mc:Choice Requires="x14">
            <control shapeId="144407" r:id="rId25" name="Option Button 23">
              <controlPr defaultSize="0" autoFill="0" autoLine="0" autoPict="0">
                <anchor moveWithCells="1">
                  <from>
                    <xdr:col>1</xdr:col>
                    <xdr:colOff>438150</xdr:colOff>
                    <xdr:row>28</xdr:row>
                    <xdr:rowOff>31750</xdr:rowOff>
                  </from>
                  <to>
                    <xdr:col>1</xdr:col>
                    <xdr:colOff>990600</xdr:colOff>
                    <xdr:row>28</xdr:row>
                    <xdr:rowOff>184150</xdr:rowOff>
                  </to>
                </anchor>
              </controlPr>
            </control>
          </mc:Choice>
        </mc:AlternateContent>
        <mc:AlternateContent xmlns:mc="http://schemas.openxmlformats.org/markup-compatibility/2006">
          <mc:Choice Requires="x14">
            <control shapeId="144408" r:id="rId26" name="Option Button 24">
              <controlPr defaultSize="0" autoFill="0" autoLine="0" autoPict="0">
                <anchor moveWithCells="1">
                  <from>
                    <xdr:col>1</xdr:col>
                    <xdr:colOff>438150</xdr:colOff>
                    <xdr:row>29</xdr:row>
                    <xdr:rowOff>31750</xdr:rowOff>
                  </from>
                  <to>
                    <xdr:col>1</xdr:col>
                    <xdr:colOff>990600</xdr:colOff>
                    <xdr:row>29</xdr:row>
                    <xdr:rowOff>184150</xdr:rowOff>
                  </to>
                </anchor>
              </controlPr>
            </control>
          </mc:Choice>
        </mc:AlternateContent>
        <mc:AlternateContent xmlns:mc="http://schemas.openxmlformats.org/markup-compatibility/2006">
          <mc:Choice Requires="x14">
            <control shapeId="144409" r:id="rId27" name="Option Button 25">
              <controlPr defaultSize="0" autoFill="0" autoLine="0" autoPict="0">
                <anchor moveWithCells="1">
                  <from>
                    <xdr:col>1</xdr:col>
                    <xdr:colOff>438150</xdr:colOff>
                    <xdr:row>30</xdr:row>
                    <xdr:rowOff>31750</xdr:rowOff>
                  </from>
                  <to>
                    <xdr:col>1</xdr:col>
                    <xdr:colOff>990600</xdr:colOff>
                    <xdr:row>30</xdr:row>
                    <xdr:rowOff>184150</xdr:rowOff>
                  </to>
                </anchor>
              </controlPr>
            </control>
          </mc:Choice>
        </mc:AlternateContent>
        <mc:AlternateContent xmlns:mc="http://schemas.openxmlformats.org/markup-compatibility/2006">
          <mc:Choice Requires="x14">
            <control shapeId="144410" r:id="rId28" name="Option Button 26">
              <controlPr defaultSize="0" autoFill="0" autoLine="0" autoPict="0">
                <anchor moveWithCells="1">
                  <from>
                    <xdr:col>1</xdr:col>
                    <xdr:colOff>438150</xdr:colOff>
                    <xdr:row>31</xdr:row>
                    <xdr:rowOff>31750</xdr:rowOff>
                  </from>
                  <to>
                    <xdr:col>1</xdr:col>
                    <xdr:colOff>990600</xdr:colOff>
                    <xdr:row>31</xdr:row>
                    <xdr:rowOff>184150</xdr:rowOff>
                  </to>
                </anchor>
              </controlPr>
            </control>
          </mc:Choice>
        </mc:AlternateContent>
        <mc:AlternateContent xmlns:mc="http://schemas.openxmlformats.org/markup-compatibility/2006">
          <mc:Choice Requires="x14">
            <control shapeId="144411" r:id="rId29" name="Option Button 27">
              <controlPr defaultSize="0" autoFill="0" autoLine="0" autoPict="0">
                <anchor moveWithCells="1">
                  <from>
                    <xdr:col>1</xdr:col>
                    <xdr:colOff>438150</xdr:colOff>
                    <xdr:row>32</xdr:row>
                    <xdr:rowOff>31750</xdr:rowOff>
                  </from>
                  <to>
                    <xdr:col>1</xdr:col>
                    <xdr:colOff>990600</xdr:colOff>
                    <xdr:row>32</xdr:row>
                    <xdr:rowOff>184150</xdr:rowOff>
                  </to>
                </anchor>
              </controlPr>
            </control>
          </mc:Choice>
        </mc:AlternateContent>
        <mc:AlternateContent xmlns:mc="http://schemas.openxmlformats.org/markup-compatibility/2006">
          <mc:Choice Requires="x14">
            <control shapeId="144412" r:id="rId30" name="Option Button 28">
              <controlPr defaultSize="0" autoFill="0" autoLine="0" autoPict="0">
                <anchor moveWithCells="1">
                  <from>
                    <xdr:col>1</xdr:col>
                    <xdr:colOff>438150</xdr:colOff>
                    <xdr:row>33</xdr:row>
                    <xdr:rowOff>31750</xdr:rowOff>
                  </from>
                  <to>
                    <xdr:col>1</xdr:col>
                    <xdr:colOff>990600</xdr:colOff>
                    <xdr:row>33</xdr:row>
                    <xdr:rowOff>184150</xdr:rowOff>
                  </to>
                </anchor>
              </controlPr>
            </control>
          </mc:Choice>
        </mc:AlternateContent>
        <mc:AlternateContent xmlns:mc="http://schemas.openxmlformats.org/markup-compatibility/2006">
          <mc:Choice Requires="x14">
            <control shapeId="144413" r:id="rId31" name="Option Button 29">
              <controlPr defaultSize="0" autoFill="0" autoLine="0" autoPict="0">
                <anchor moveWithCells="1">
                  <from>
                    <xdr:col>1</xdr:col>
                    <xdr:colOff>438150</xdr:colOff>
                    <xdr:row>34</xdr:row>
                    <xdr:rowOff>31750</xdr:rowOff>
                  </from>
                  <to>
                    <xdr:col>1</xdr:col>
                    <xdr:colOff>990600</xdr:colOff>
                    <xdr:row>34</xdr:row>
                    <xdr:rowOff>184150</xdr:rowOff>
                  </to>
                </anchor>
              </controlPr>
            </control>
          </mc:Choice>
        </mc:AlternateContent>
        <mc:AlternateContent xmlns:mc="http://schemas.openxmlformats.org/markup-compatibility/2006">
          <mc:Choice Requires="x14">
            <control shapeId="144414" r:id="rId32" name="Option Button 30">
              <controlPr defaultSize="0" autoFill="0" autoLine="0" autoPict="0">
                <anchor moveWithCells="1">
                  <from>
                    <xdr:col>1</xdr:col>
                    <xdr:colOff>438150</xdr:colOff>
                    <xdr:row>35</xdr:row>
                    <xdr:rowOff>31750</xdr:rowOff>
                  </from>
                  <to>
                    <xdr:col>1</xdr:col>
                    <xdr:colOff>990600</xdr:colOff>
                    <xdr:row>35</xdr:row>
                    <xdr:rowOff>184150</xdr:rowOff>
                  </to>
                </anchor>
              </controlPr>
            </control>
          </mc:Choice>
        </mc:AlternateContent>
        <mc:AlternateContent xmlns:mc="http://schemas.openxmlformats.org/markup-compatibility/2006">
          <mc:Choice Requires="x14">
            <control shapeId="144415" r:id="rId33" name="Option Button 31">
              <controlPr defaultSize="0" autoFill="0" autoLine="0" autoPict="0">
                <anchor moveWithCells="1">
                  <from>
                    <xdr:col>1</xdr:col>
                    <xdr:colOff>438150</xdr:colOff>
                    <xdr:row>36</xdr:row>
                    <xdr:rowOff>31750</xdr:rowOff>
                  </from>
                  <to>
                    <xdr:col>1</xdr:col>
                    <xdr:colOff>990600</xdr:colOff>
                    <xdr:row>36</xdr:row>
                    <xdr:rowOff>184150</xdr:rowOff>
                  </to>
                </anchor>
              </controlPr>
            </control>
          </mc:Choice>
        </mc:AlternateContent>
        <mc:AlternateContent xmlns:mc="http://schemas.openxmlformats.org/markup-compatibility/2006">
          <mc:Choice Requires="x14">
            <control shapeId="144416" r:id="rId34" name="Option Button 32">
              <controlPr defaultSize="0" autoFill="0" autoLine="0" autoPict="0">
                <anchor moveWithCells="1">
                  <from>
                    <xdr:col>1</xdr:col>
                    <xdr:colOff>438150</xdr:colOff>
                    <xdr:row>37</xdr:row>
                    <xdr:rowOff>31750</xdr:rowOff>
                  </from>
                  <to>
                    <xdr:col>1</xdr:col>
                    <xdr:colOff>990600</xdr:colOff>
                    <xdr:row>37</xdr:row>
                    <xdr:rowOff>184150</xdr:rowOff>
                  </to>
                </anchor>
              </controlPr>
            </control>
          </mc:Choice>
        </mc:AlternateContent>
        <mc:AlternateContent xmlns:mc="http://schemas.openxmlformats.org/markup-compatibility/2006">
          <mc:Choice Requires="x14">
            <control shapeId="144417" r:id="rId35" name="Option Button 33">
              <controlPr defaultSize="0" autoFill="0" autoLine="0" autoPict="0">
                <anchor moveWithCells="1">
                  <from>
                    <xdr:col>1</xdr:col>
                    <xdr:colOff>438150</xdr:colOff>
                    <xdr:row>38</xdr:row>
                    <xdr:rowOff>31750</xdr:rowOff>
                  </from>
                  <to>
                    <xdr:col>1</xdr:col>
                    <xdr:colOff>990600</xdr:colOff>
                    <xdr:row>38</xdr:row>
                    <xdr:rowOff>184150</xdr:rowOff>
                  </to>
                </anchor>
              </controlPr>
            </control>
          </mc:Choice>
        </mc:AlternateContent>
        <mc:AlternateContent xmlns:mc="http://schemas.openxmlformats.org/markup-compatibility/2006">
          <mc:Choice Requires="x14">
            <control shapeId="144418" r:id="rId36" name="Option Button 34">
              <controlPr defaultSize="0" autoFill="0" autoLine="0" autoPict="0">
                <anchor moveWithCells="1">
                  <from>
                    <xdr:col>1</xdr:col>
                    <xdr:colOff>438150</xdr:colOff>
                    <xdr:row>39</xdr:row>
                    <xdr:rowOff>31750</xdr:rowOff>
                  </from>
                  <to>
                    <xdr:col>1</xdr:col>
                    <xdr:colOff>990600</xdr:colOff>
                    <xdr:row>39</xdr:row>
                    <xdr:rowOff>184150</xdr:rowOff>
                  </to>
                </anchor>
              </controlPr>
            </control>
          </mc:Choice>
        </mc:AlternateContent>
        <mc:AlternateContent xmlns:mc="http://schemas.openxmlformats.org/markup-compatibility/2006">
          <mc:Choice Requires="x14">
            <control shapeId="144419" r:id="rId37" name="Option Button 35">
              <controlPr defaultSize="0" autoFill="0" autoLine="0" autoPict="0">
                <anchor moveWithCells="1">
                  <from>
                    <xdr:col>1</xdr:col>
                    <xdr:colOff>438150</xdr:colOff>
                    <xdr:row>40</xdr:row>
                    <xdr:rowOff>31750</xdr:rowOff>
                  </from>
                  <to>
                    <xdr:col>1</xdr:col>
                    <xdr:colOff>990600</xdr:colOff>
                    <xdr:row>40</xdr:row>
                    <xdr:rowOff>184150</xdr:rowOff>
                  </to>
                </anchor>
              </controlPr>
            </control>
          </mc:Choice>
        </mc:AlternateContent>
        <mc:AlternateContent xmlns:mc="http://schemas.openxmlformats.org/markup-compatibility/2006">
          <mc:Choice Requires="x14">
            <control shapeId="144420" r:id="rId38" name="Option Button 36">
              <controlPr defaultSize="0" autoFill="0" autoLine="0" autoPict="0">
                <anchor moveWithCells="1">
                  <from>
                    <xdr:col>1</xdr:col>
                    <xdr:colOff>438150</xdr:colOff>
                    <xdr:row>41</xdr:row>
                    <xdr:rowOff>31750</xdr:rowOff>
                  </from>
                  <to>
                    <xdr:col>1</xdr:col>
                    <xdr:colOff>990600</xdr:colOff>
                    <xdr:row>41</xdr:row>
                    <xdr:rowOff>184150</xdr:rowOff>
                  </to>
                </anchor>
              </controlPr>
            </control>
          </mc:Choice>
        </mc:AlternateContent>
        <mc:AlternateContent xmlns:mc="http://schemas.openxmlformats.org/markup-compatibility/2006">
          <mc:Choice Requires="x14">
            <control shapeId="144421" r:id="rId39" name="Option Button 37">
              <controlPr defaultSize="0" autoFill="0" autoLine="0" autoPict="0">
                <anchor moveWithCells="1">
                  <from>
                    <xdr:col>1</xdr:col>
                    <xdr:colOff>438150</xdr:colOff>
                    <xdr:row>42</xdr:row>
                    <xdr:rowOff>31750</xdr:rowOff>
                  </from>
                  <to>
                    <xdr:col>1</xdr:col>
                    <xdr:colOff>990600</xdr:colOff>
                    <xdr:row>42</xdr:row>
                    <xdr:rowOff>184150</xdr:rowOff>
                  </to>
                </anchor>
              </controlPr>
            </control>
          </mc:Choice>
        </mc:AlternateContent>
        <mc:AlternateContent xmlns:mc="http://schemas.openxmlformats.org/markup-compatibility/2006">
          <mc:Choice Requires="x14">
            <control shapeId="144422" r:id="rId40" name="Option Button 38">
              <controlPr defaultSize="0" autoFill="0" autoLine="0" autoPict="0">
                <anchor moveWithCells="1">
                  <from>
                    <xdr:col>1</xdr:col>
                    <xdr:colOff>438150</xdr:colOff>
                    <xdr:row>43</xdr:row>
                    <xdr:rowOff>31750</xdr:rowOff>
                  </from>
                  <to>
                    <xdr:col>1</xdr:col>
                    <xdr:colOff>990600</xdr:colOff>
                    <xdr:row>43</xdr:row>
                    <xdr:rowOff>184150</xdr:rowOff>
                  </to>
                </anchor>
              </controlPr>
            </control>
          </mc:Choice>
        </mc:AlternateContent>
        <mc:AlternateContent xmlns:mc="http://schemas.openxmlformats.org/markup-compatibility/2006">
          <mc:Choice Requires="x14">
            <control shapeId="144423" r:id="rId41" name="Option Button 39">
              <controlPr defaultSize="0" autoFill="0" autoLine="0" autoPict="0">
                <anchor moveWithCells="1">
                  <from>
                    <xdr:col>1</xdr:col>
                    <xdr:colOff>438150</xdr:colOff>
                    <xdr:row>44</xdr:row>
                    <xdr:rowOff>31750</xdr:rowOff>
                  </from>
                  <to>
                    <xdr:col>1</xdr:col>
                    <xdr:colOff>990600</xdr:colOff>
                    <xdr:row>44</xdr:row>
                    <xdr:rowOff>184150</xdr:rowOff>
                  </to>
                </anchor>
              </controlPr>
            </control>
          </mc:Choice>
        </mc:AlternateContent>
        <mc:AlternateContent xmlns:mc="http://schemas.openxmlformats.org/markup-compatibility/2006">
          <mc:Choice Requires="x14">
            <control shapeId="144424" r:id="rId42" name="Option Button 40">
              <controlPr defaultSize="0" autoFill="0" autoLine="0" autoPict="0">
                <anchor moveWithCells="1">
                  <from>
                    <xdr:col>1</xdr:col>
                    <xdr:colOff>438150</xdr:colOff>
                    <xdr:row>45</xdr:row>
                    <xdr:rowOff>31750</xdr:rowOff>
                  </from>
                  <to>
                    <xdr:col>1</xdr:col>
                    <xdr:colOff>990600</xdr:colOff>
                    <xdr:row>45</xdr:row>
                    <xdr:rowOff>184150</xdr:rowOff>
                  </to>
                </anchor>
              </controlPr>
            </control>
          </mc:Choice>
        </mc:AlternateContent>
        <mc:AlternateContent xmlns:mc="http://schemas.openxmlformats.org/markup-compatibility/2006">
          <mc:Choice Requires="x14">
            <control shapeId="144425" r:id="rId43" name="Option Button 41">
              <controlPr defaultSize="0" autoFill="0" autoLine="0" autoPict="0">
                <anchor moveWithCells="1">
                  <from>
                    <xdr:col>1</xdr:col>
                    <xdr:colOff>438150</xdr:colOff>
                    <xdr:row>46</xdr:row>
                    <xdr:rowOff>31750</xdr:rowOff>
                  </from>
                  <to>
                    <xdr:col>1</xdr:col>
                    <xdr:colOff>990600</xdr:colOff>
                    <xdr:row>46</xdr:row>
                    <xdr:rowOff>184150</xdr:rowOff>
                  </to>
                </anchor>
              </controlPr>
            </control>
          </mc:Choice>
        </mc:AlternateContent>
        <mc:AlternateContent xmlns:mc="http://schemas.openxmlformats.org/markup-compatibility/2006">
          <mc:Choice Requires="x14">
            <control shapeId="144426" r:id="rId44" name="Option Button 42">
              <controlPr defaultSize="0" autoFill="0" autoLine="0" autoPict="0">
                <anchor moveWithCells="1">
                  <from>
                    <xdr:col>1</xdr:col>
                    <xdr:colOff>438150</xdr:colOff>
                    <xdr:row>47</xdr:row>
                    <xdr:rowOff>31750</xdr:rowOff>
                  </from>
                  <to>
                    <xdr:col>1</xdr:col>
                    <xdr:colOff>990600</xdr:colOff>
                    <xdr:row>47</xdr:row>
                    <xdr:rowOff>184150</xdr:rowOff>
                  </to>
                </anchor>
              </controlPr>
            </control>
          </mc:Choice>
        </mc:AlternateContent>
        <mc:AlternateContent xmlns:mc="http://schemas.openxmlformats.org/markup-compatibility/2006">
          <mc:Choice Requires="x14">
            <control shapeId="144427" r:id="rId45" name="Option Button 43">
              <controlPr defaultSize="0" autoFill="0" autoLine="0" autoPict="0">
                <anchor moveWithCells="1">
                  <from>
                    <xdr:col>1</xdr:col>
                    <xdr:colOff>438150</xdr:colOff>
                    <xdr:row>48</xdr:row>
                    <xdr:rowOff>31750</xdr:rowOff>
                  </from>
                  <to>
                    <xdr:col>1</xdr:col>
                    <xdr:colOff>990600</xdr:colOff>
                    <xdr:row>48</xdr:row>
                    <xdr:rowOff>184150</xdr:rowOff>
                  </to>
                </anchor>
              </controlPr>
            </control>
          </mc:Choice>
        </mc:AlternateContent>
        <mc:AlternateContent xmlns:mc="http://schemas.openxmlformats.org/markup-compatibility/2006">
          <mc:Choice Requires="x14">
            <control shapeId="144428" r:id="rId46" name="Option Button 44">
              <controlPr defaultSize="0" autoFill="0" autoLine="0" autoPict="0">
                <anchor moveWithCells="1">
                  <from>
                    <xdr:col>1</xdr:col>
                    <xdr:colOff>438150</xdr:colOff>
                    <xdr:row>49</xdr:row>
                    <xdr:rowOff>31750</xdr:rowOff>
                  </from>
                  <to>
                    <xdr:col>1</xdr:col>
                    <xdr:colOff>990600</xdr:colOff>
                    <xdr:row>49</xdr:row>
                    <xdr:rowOff>184150</xdr:rowOff>
                  </to>
                </anchor>
              </controlPr>
            </control>
          </mc:Choice>
        </mc:AlternateContent>
        <mc:AlternateContent xmlns:mc="http://schemas.openxmlformats.org/markup-compatibility/2006">
          <mc:Choice Requires="x14">
            <control shapeId="144429" r:id="rId47" name="Option Button 45">
              <controlPr defaultSize="0" autoFill="0" autoLine="0" autoPict="0">
                <anchor moveWithCells="1">
                  <from>
                    <xdr:col>1</xdr:col>
                    <xdr:colOff>438150</xdr:colOff>
                    <xdr:row>50</xdr:row>
                    <xdr:rowOff>31750</xdr:rowOff>
                  </from>
                  <to>
                    <xdr:col>1</xdr:col>
                    <xdr:colOff>990600</xdr:colOff>
                    <xdr:row>50</xdr:row>
                    <xdr:rowOff>184150</xdr:rowOff>
                  </to>
                </anchor>
              </controlPr>
            </control>
          </mc:Choice>
        </mc:AlternateContent>
        <mc:AlternateContent xmlns:mc="http://schemas.openxmlformats.org/markup-compatibility/2006">
          <mc:Choice Requires="x14">
            <control shapeId="144430" r:id="rId48" name="Option Button 46">
              <controlPr defaultSize="0" autoFill="0" autoLine="0" autoPict="0">
                <anchor moveWithCells="1">
                  <from>
                    <xdr:col>1</xdr:col>
                    <xdr:colOff>438150</xdr:colOff>
                    <xdr:row>51</xdr:row>
                    <xdr:rowOff>31750</xdr:rowOff>
                  </from>
                  <to>
                    <xdr:col>1</xdr:col>
                    <xdr:colOff>990600</xdr:colOff>
                    <xdr:row>51</xdr:row>
                    <xdr:rowOff>184150</xdr:rowOff>
                  </to>
                </anchor>
              </controlPr>
            </control>
          </mc:Choice>
        </mc:AlternateContent>
        <mc:AlternateContent xmlns:mc="http://schemas.openxmlformats.org/markup-compatibility/2006">
          <mc:Choice Requires="x14">
            <control shapeId="144431" r:id="rId49" name="Option Button 47">
              <controlPr defaultSize="0" autoFill="0" autoLine="0" autoPict="0">
                <anchor moveWithCells="1">
                  <from>
                    <xdr:col>1</xdr:col>
                    <xdr:colOff>438150</xdr:colOff>
                    <xdr:row>52</xdr:row>
                    <xdr:rowOff>31750</xdr:rowOff>
                  </from>
                  <to>
                    <xdr:col>1</xdr:col>
                    <xdr:colOff>990600</xdr:colOff>
                    <xdr:row>52</xdr:row>
                    <xdr:rowOff>184150</xdr:rowOff>
                  </to>
                </anchor>
              </controlPr>
            </control>
          </mc:Choice>
        </mc:AlternateContent>
        <mc:AlternateContent xmlns:mc="http://schemas.openxmlformats.org/markup-compatibility/2006">
          <mc:Choice Requires="x14">
            <control shapeId="144432" r:id="rId50" name="Option Button 48">
              <controlPr defaultSize="0" autoFill="0" autoLine="0" autoPict="0">
                <anchor moveWithCells="1">
                  <from>
                    <xdr:col>1</xdr:col>
                    <xdr:colOff>438150</xdr:colOff>
                    <xdr:row>53</xdr:row>
                    <xdr:rowOff>31750</xdr:rowOff>
                  </from>
                  <to>
                    <xdr:col>1</xdr:col>
                    <xdr:colOff>990600</xdr:colOff>
                    <xdr:row>53</xdr:row>
                    <xdr:rowOff>184150</xdr:rowOff>
                  </to>
                </anchor>
              </controlPr>
            </control>
          </mc:Choice>
        </mc:AlternateContent>
        <mc:AlternateContent xmlns:mc="http://schemas.openxmlformats.org/markup-compatibility/2006">
          <mc:Choice Requires="x14">
            <control shapeId="144433" r:id="rId51" name="Option Button 49">
              <controlPr defaultSize="0" autoFill="0" autoLine="0" autoPict="0">
                <anchor moveWithCells="1">
                  <from>
                    <xdr:col>1</xdr:col>
                    <xdr:colOff>438150</xdr:colOff>
                    <xdr:row>54</xdr:row>
                    <xdr:rowOff>31750</xdr:rowOff>
                  </from>
                  <to>
                    <xdr:col>1</xdr:col>
                    <xdr:colOff>990600</xdr:colOff>
                    <xdr:row>54</xdr:row>
                    <xdr:rowOff>184150</xdr:rowOff>
                  </to>
                </anchor>
              </controlPr>
            </control>
          </mc:Choice>
        </mc:AlternateContent>
        <mc:AlternateContent xmlns:mc="http://schemas.openxmlformats.org/markup-compatibility/2006">
          <mc:Choice Requires="x14">
            <control shapeId="144434" r:id="rId52" name="Option Button 50">
              <controlPr defaultSize="0" autoFill="0" autoLine="0" autoPict="0">
                <anchor moveWithCells="1">
                  <from>
                    <xdr:col>1</xdr:col>
                    <xdr:colOff>438150</xdr:colOff>
                    <xdr:row>55</xdr:row>
                    <xdr:rowOff>31750</xdr:rowOff>
                  </from>
                  <to>
                    <xdr:col>1</xdr:col>
                    <xdr:colOff>990600</xdr:colOff>
                    <xdr:row>55</xdr:row>
                    <xdr:rowOff>184150</xdr:rowOff>
                  </to>
                </anchor>
              </controlPr>
            </control>
          </mc:Choice>
        </mc:AlternateContent>
        <mc:AlternateContent xmlns:mc="http://schemas.openxmlformats.org/markup-compatibility/2006">
          <mc:Choice Requires="x14">
            <control shapeId="144435" r:id="rId53" name="Option Button 51">
              <controlPr defaultSize="0" autoFill="0" autoLine="0" autoPict="0">
                <anchor moveWithCells="1">
                  <from>
                    <xdr:col>1</xdr:col>
                    <xdr:colOff>438150</xdr:colOff>
                    <xdr:row>56</xdr:row>
                    <xdr:rowOff>31750</xdr:rowOff>
                  </from>
                  <to>
                    <xdr:col>1</xdr:col>
                    <xdr:colOff>990600</xdr:colOff>
                    <xdr:row>56</xdr:row>
                    <xdr:rowOff>184150</xdr:rowOff>
                  </to>
                </anchor>
              </controlPr>
            </control>
          </mc:Choice>
        </mc:AlternateContent>
        <mc:AlternateContent xmlns:mc="http://schemas.openxmlformats.org/markup-compatibility/2006">
          <mc:Choice Requires="x14">
            <control shapeId="144436" r:id="rId54" name="Option Button 52">
              <controlPr defaultSize="0" autoFill="0" autoLine="0" autoPict="0">
                <anchor moveWithCells="1">
                  <from>
                    <xdr:col>1</xdr:col>
                    <xdr:colOff>438150</xdr:colOff>
                    <xdr:row>57</xdr:row>
                    <xdr:rowOff>31750</xdr:rowOff>
                  </from>
                  <to>
                    <xdr:col>1</xdr:col>
                    <xdr:colOff>990600</xdr:colOff>
                    <xdr:row>57</xdr:row>
                    <xdr:rowOff>184150</xdr:rowOff>
                  </to>
                </anchor>
              </controlPr>
            </control>
          </mc:Choice>
        </mc:AlternateContent>
        <mc:AlternateContent xmlns:mc="http://schemas.openxmlformats.org/markup-compatibility/2006">
          <mc:Choice Requires="x14">
            <control shapeId="144437" r:id="rId55" name="Option Button 53">
              <controlPr defaultSize="0" autoFill="0" autoLine="0" autoPict="0">
                <anchor moveWithCells="1">
                  <from>
                    <xdr:col>1</xdr:col>
                    <xdr:colOff>438150</xdr:colOff>
                    <xdr:row>58</xdr:row>
                    <xdr:rowOff>31750</xdr:rowOff>
                  </from>
                  <to>
                    <xdr:col>1</xdr:col>
                    <xdr:colOff>990600</xdr:colOff>
                    <xdr:row>58</xdr:row>
                    <xdr:rowOff>184150</xdr:rowOff>
                  </to>
                </anchor>
              </controlPr>
            </control>
          </mc:Choice>
        </mc:AlternateContent>
        <mc:AlternateContent xmlns:mc="http://schemas.openxmlformats.org/markup-compatibility/2006">
          <mc:Choice Requires="x14">
            <control shapeId="144438" r:id="rId56" name="Option Button 54">
              <controlPr defaultSize="0" autoFill="0" autoLine="0" autoPict="0">
                <anchor moveWithCells="1">
                  <from>
                    <xdr:col>1</xdr:col>
                    <xdr:colOff>438150</xdr:colOff>
                    <xdr:row>59</xdr:row>
                    <xdr:rowOff>31750</xdr:rowOff>
                  </from>
                  <to>
                    <xdr:col>1</xdr:col>
                    <xdr:colOff>990600</xdr:colOff>
                    <xdr:row>59</xdr:row>
                    <xdr:rowOff>184150</xdr:rowOff>
                  </to>
                </anchor>
              </controlPr>
            </control>
          </mc:Choice>
        </mc:AlternateContent>
        <mc:AlternateContent xmlns:mc="http://schemas.openxmlformats.org/markup-compatibility/2006">
          <mc:Choice Requires="x14">
            <control shapeId="144439" r:id="rId57" name="Option Button 55">
              <controlPr defaultSize="0" autoFill="0" autoLine="0" autoPict="0">
                <anchor moveWithCells="1">
                  <from>
                    <xdr:col>1</xdr:col>
                    <xdr:colOff>438150</xdr:colOff>
                    <xdr:row>60</xdr:row>
                    <xdr:rowOff>31750</xdr:rowOff>
                  </from>
                  <to>
                    <xdr:col>1</xdr:col>
                    <xdr:colOff>990600</xdr:colOff>
                    <xdr:row>60</xdr:row>
                    <xdr:rowOff>184150</xdr:rowOff>
                  </to>
                </anchor>
              </controlPr>
            </control>
          </mc:Choice>
        </mc:AlternateContent>
        <mc:AlternateContent xmlns:mc="http://schemas.openxmlformats.org/markup-compatibility/2006">
          <mc:Choice Requires="x14">
            <control shapeId="144440" r:id="rId58" name="Option Button 56">
              <controlPr defaultSize="0" autoFill="0" autoLine="0" autoPict="0">
                <anchor moveWithCells="1">
                  <from>
                    <xdr:col>1</xdr:col>
                    <xdr:colOff>438150</xdr:colOff>
                    <xdr:row>61</xdr:row>
                    <xdr:rowOff>31750</xdr:rowOff>
                  </from>
                  <to>
                    <xdr:col>1</xdr:col>
                    <xdr:colOff>990600</xdr:colOff>
                    <xdr:row>61</xdr:row>
                    <xdr:rowOff>184150</xdr:rowOff>
                  </to>
                </anchor>
              </controlPr>
            </control>
          </mc:Choice>
        </mc:AlternateContent>
        <mc:AlternateContent xmlns:mc="http://schemas.openxmlformats.org/markup-compatibility/2006">
          <mc:Choice Requires="x14">
            <control shapeId="144441" r:id="rId59" name="Option Button 57">
              <controlPr defaultSize="0" autoFill="0" autoLine="0" autoPict="0">
                <anchor moveWithCells="1">
                  <from>
                    <xdr:col>1</xdr:col>
                    <xdr:colOff>438150</xdr:colOff>
                    <xdr:row>62</xdr:row>
                    <xdr:rowOff>31750</xdr:rowOff>
                  </from>
                  <to>
                    <xdr:col>1</xdr:col>
                    <xdr:colOff>990600</xdr:colOff>
                    <xdr:row>62</xdr:row>
                    <xdr:rowOff>184150</xdr:rowOff>
                  </to>
                </anchor>
              </controlPr>
            </control>
          </mc:Choice>
        </mc:AlternateContent>
        <mc:AlternateContent xmlns:mc="http://schemas.openxmlformats.org/markup-compatibility/2006">
          <mc:Choice Requires="x14">
            <control shapeId="144442" r:id="rId60" name="Option Button 58">
              <controlPr defaultSize="0" autoFill="0" autoLine="0" autoPict="0">
                <anchor moveWithCells="1">
                  <from>
                    <xdr:col>1</xdr:col>
                    <xdr:colOff>438150</xdr:colOff>
                    <xdr:row>63</xdr:row>
                    <xdr:rowOff>31750</xdr:rowOff>
                  </from>
                  <to>
                    <xdr:col>1</xdr:col>
                    <xdr:colOff>984250</xdr:colOff>
                    <xdr:row>63</xdr:row>
                    <xdr:rowOff>184150</xdr:rowOff>
                  </to>
                </anchor>
              </controlPr>
            </control>
          </mc:Choice>
        </mc:AlternateContent>
        <mc:AlternateContent xmlns:mc="http://schemas.openxmlformats.org/markup-compatibility/2006">
          <mc:Choice Requires="x14">
            <control shapeId="144443" r:id="rId61" name="Option Button 59">
              <controlPr defaultSize="0" autoFill="0" autoLine="0" autoPict="0">
                <anchor moveWithCells="1">
                  <from>
                    <xdr:col>1</xdr:col>
                    <xdr:colOff>438150</xdr:colOff>
                    <xdr:row>64</xdr:row>
                    <xdr:rowOff>31750</xdr:rowOff>
                  </from>
                  <to>
                    <xdr:col>1</xdr:col>
                    <xdr:colOff>990600</xdr:colOff>
                    <xdr:row>64</xdr:row>
                    <xdr:rowOff>184150</xdr:rowOff>
                  </to>
                </anchor>
              </controlPr>
            </control>
          </mc:Choice>
        </mc:AlternateContent>
        <mc:AlternateContent xmlns:mc="http://schemas.openxmlformats.org/markup-compatibility/2006">
          <mc:Choice Requires="x14">
            <control shapeId="144444" r:id="rId62" name="Option Button 60">
              <controlPr defaultSize="0" autoFill="0" autoLine="0" autoPict="0">
                <anchor moveWithCells="1">
                  <from>
                    <xdr:col>1</xdr:col>
                    <xdr:colOff>438150</xdr:colOff>
                    <xdr:row>65</xdr:row>
                    <xdr:rowOff>31750</xdr:rowOff>
                  </from>
                  <to>
                    <xdr:col>1</xdr:col>
                    <xdr:colOff>990600</xdr:colOff>
                    <xdr:row>65</xdr:row>
                    <xdr:rowOff>184150</xdr:rowOff>
                  </to>
                </anchor>
              </controlPr>
            </control>
          </mc:Choice>
        </mc:AlternateContent>
        <mc:AlternateContent xmlns:mc="http://schemas.openxmlformats.org/markup-compatibility/2006">
          <mc:Choice Requires="x14">
            <control shapeId="144445" r:id="rId63" name="Option Button 61">
              <controlPr defaultSize="0" autoFill="0" autoLine="0" autoPict="0">
                <anchor moveWithCells="1">
                  <from>
                    <xdr:col>1</xdr:col>
                    <xdr:colOff>438150</xdr:colOff>
                    <xdr:row>66</xdr:row>
                    <xdr:rowOff>31750</xdr:rowOff>
                  </from>
                  <to>
                    <xdr:col>1</xdr:col>
                    <xdr:colOff>990600</xdr:colOff>
                    <xdr:row>66</xdr:row>
                    <xdr:rowOff>184150</xdr:rowOff>
                  </to>
                </anchor>
              </controlPr>
            </control>
          </mc:Choice>
        </mc:AlternateContent>
        <mc:AlternateContent xmlns:mc="http://schemas.openxmlformats.org/markup-compatibility/2006">
          <mc:Choice Requires="x14">
            <control shapeId="144446" r:id="rId64" name="Option Button 62">
              <controlPr defaultSize="0" autoFill="0" autoLine="0" autoPict="0">
                <anchor moveWithCells="1">
                  <from>
                    <xdr:col>1</xdr:col>
                    <xdr:colOff>438150</xdr:colOff>
                    <xdr:row>67</xdr:row>
                    <xdr:rowOff>31750</xdr:rowOff>
                  </from>
                  <to>
                    <xdr:col>1</xdr:col>
                    <xdr:colOff>990600</xdr:colOff>
                    <xdr:row>67</xdr:row>
                    <xdr:rowOff>184150</xdr:rowOff>
                  </to>
                </anchor>
              </controlPr>
            </control>
          </mc:Choice>
        </mc:AlternateContent>
        <mc:AlternateContent xmlns:mc="http://schemas.openxmlformats.org/markup-compatibility/2006">
          <mc:Choice Requires="x14">
            <control shapeId="144447" r:id="rId65" name="Option Button 63">
              <controlPr defaultSize="0" autoFill="0" autoLine="0" autoPict="0">
                <anchor moveWithCells="1">
                  <from>
                    <xdr:col>1</xdr:col>
                    <xdr:colOff>438150</xdr:colOff>
                    <xdr:row>68</xdr:row>
                    <xdr:rowOff>31750</xdr:rowOff>
                  </from>
                  <to>
                    <xdr:col>1</xdr:col>
                    <xdr:colOff>990600</xdr:colOff>
                    <xdr:row>68</xdr:row>
                    <xdr:rowOff>184150</xdr:rowOff>
                  </to>
                </anchor>
              </controlPr>
            </control>
          </mc:Choice>
        </mc:AlternateContent>
        <mc:AlternateContent xmlns:mc="http://schemas.openxmlformats.org/markup-compatibility/2006">
          <mc:Choice Requires="x14">
            <control shapeId="144448" r:id="rId66" name="Option Button 64">
              <controlPr defaultSize="0" autoFill="0" autoLine="0" autoPict="0">
                <anchor moveWithCells="1">
                  <from>
                    <xdr:col>1</xdr:col>
                    <xdr:colOff>438150</xdr:colOff>
                    <xdr:row>69</xdr:row>
                    <xdr:rowOff>31750</xdr:rowOff>
                  </from>
                  <to>
                    <xdr:col>1</xdr:col>
                    <xdr:colOff>990600</xdr:colOff>
                    <xdr:row>69</xdr:row>
                    <xdr:rowOff>184150</xdr:rowOff>
                  </to>
                </anchor>
              </controlPr>
            </control>
          </mc:Choice>
        </mc:AlternateContent>
        <mc:AlternateContent xmlns:mc="http://schemas.openxmlformats.org/markup-compatibility/2006">
          <mc:Choice Requires="x14">
            <control shapeId="144449" r:id="rId67" name="Option Button 65">
              <controlPr defaultSize="0" autoFill="0" autoLine="0" autoPict="0">
                <anchor moveWithCells="1">
                  <from>
                    <xdr:col>1</xdr:col>
                    <xdr:colOff>438150</xdr:colOff>
                    <xdr:row>70</xdr:row>
                    <xdr:rowOff>31750</xdr:rowOff>
                  </from>
                  <to>
                    <xdr:col>1</xdr:col>
                    <xdr:colOff>990600</xdr:colOff>
                    <xdr:row>70</xdr:row>
                    <xdr:rowOff>184150</xdr:rowOff>
                  </to>
                </anchor>
              </controlPr>
            </control>
          </mc:Choice>
        </mc:AlternateContent>
        <mc:AlternateContent xmlns:mc="http://schemas.openxmlformats.org/markup-compatibility/2006">
          <mc:Choice Requires="x14">
            <control shapeId="144450" r:id="rId68" name="Option Button 66">
              <controlPr defaultSize="0" autoFill="0" autoLine="0" autoPict="0">
                <anchor moveWithCells="1">
                  <from>
                    <xdr:col>1</xdr:col>
                    <xdr:colOff>438150</xdr:colOff>
                    <xdr:row>71</xdr:row>
                    <xdr:rowOff>31750</xdr:rowOff>
                  </from>
                  <to>
                    <xdr:col>1</xdr:col>
                    <xdr:colOff>990600</xdr:colOff>
                    <xdr:row>71</xdr:row>
                    <xdr:rowOff>184150</xdr:rowOff>
                  </to>
                </anchor>
              </controlPr>
            </control>
          </mc:Choice>
        </mc:AlternateContent>
        <mc:AlternateContent xmlns:mc="http://schemas.openxmlformats.org/markup-compatibility/2006">
          <mc:Choice Requires="x14">
            <control shapeId="144451" r:id="rId69" name="Option Button 67">
              <controlPr defaultSize="0" autoFill="0" autoLine="0" autoPict="0">
                <anchor moveWithCells="1">
                  <from>
                    <xdr:col>1</xdr:col>
                    <xdr:colOff>438150</xdr:colOff>
                    <xdr:row>72</xdr:row>
                    <xdr:rowOff>31750</xdr:rowOff>
                  </from>
                  <to>
                    <xdr:col>1</xdr:col>
                    <xdr:colOff>990600</xdr:colOff>
                    <xdr:row>72</xdr:row>
                    <xdr:rowOff>184150</xdr:rowOff>
                  </to>
                </anchor>
              </controlPr>
            </control>
          </mc:Choice>
        </mc:AlternateContent>
        <mc:AlternateContent xmlns:mc="http://schemas.openxmlformats.org/markup-compatibility/2006">
          <mc:Choice Requires="x14">
            <control shapeId="144452" r:id="rId70" name="Option Button 68">
              <controlPr defaultSize="0" autoFill="0" autoLine="0" autoPict="0">
                <anchor moveWithCells="1">
                  <from>
                    <xdr:col>1</xdr:col>
                    <xdr:colOff>438150</xdr:colOff>
                    <xdr:row>73</xdr:row>
                    <xdr:rowOff>31750</xdr:rowOff>
                  </from>
                  <to>
                    <xdr:col>1</xdr:col>
                    <xdr:colOff>990600</xdr:colOff>
                    <xdr:row>73</xdr:row>
                    <xdr:rowOff>184150</xdr:rowOff>
                  </to>
                </anchor>
              </controlPr>
            </control>
          </mc:Choice>
        </mc:AlternateContent>
        <mc:AlternateContent xmlns:mc="http://schemas.openxmlformats.org/markup-compatibility/2006">
          <mc:Choice Requires="x14">
            <control shapeId="144453" r:id="rId71" name="Option Button 69">
              <controlPr defaultSize="0" autoFill="0" autoLine="0" autoPict="0">
                <anchor moveWithCells="1">
                  <from>
                    <xdr:col>1</xdr:col>
                    <xdr:colOff>438150</xdr:colOff>
                    <xdr:row>74</xdr:row>
                    <xdr:rowOff>31750</xdr:rowOff>
                  </from>
                  <to>
                    <xdr:col>1</xdr:col>
                    <xdr:colOff>990600</xdr:colOff>
                    <xdr:row>74</xdr:row>
                    <xdr:rowOff>184150</xdr:rowOff>
                  </to>
                </anchor>
              </controlPr>
            </control>
          </mc:Choice>
        </mc:AlternateContent>
        <mc:AlternateContent xmlns:mc="http://schemas.openxmlformats.org/markup-compatibility/2006">
          <mc:Choice Requires="x14">
            <control shapeId="144454" r:id="rId72" name="Option Button 70">
              <controlPr defaultSize="0" autoFill="0" autoLine="0" autoPict="0">
                <anchor moveWithCells="1">
                  <from>
                    <xdr:col>1</xdr:col>
                    <xdr:colOff>438150</xdr:colOff>
                    <xdr:row>75</xdr:row>
                    <xdr:rowOff>31750</xdr:rowOff>
                  </from>
                  <to>
                    <xdr:col>1</xdr:col>
                    <xdr:colOff>990600</xdr:colOff>
                    <xdr:row>75</xdr:row>
                    <xdr:rowOff>184150</xdr:rowOff>
                  </to>
                </anchor>
              </controlPr>
            </control>
          </mc:Choice>
        </mc:AlternateContent>
        <mc:AlternateContent xmlns:mc="http://schemas.openxmlformats.org/markup-compatibility/2006">
          <mc:Choice Requires="x14">
            <control shapeId="144455" r:id="rId73" name="Option Button 71">
              <controlPr defaultSize="0" autoFill="0" autoLine="0" autoPict="0">
                <anchor moveWithCells="1">
                  <from>
                    <xdr:col>1</xdr:col>
                    <xdr:colOff>438150</xdr:colOff>
                    <xdr:row>76</xdr:row>
                    <xdr:rowOff>31750</xdr:rowOff>
                  </from>
                  <to>
                    <xdr:col>1</xdr:col>
                    <xdr:colOff>990600</xdr:colOff>
                    <xdr:row>76</xdr:row>
                    <xdr:rowOff>184150</xdr:rowOff>
                  </to>
                </anchor>
              </controlPr>
            </control>
          </mc:Choice>
        </mc:AlternateContent>
        <mc:AlternateContent xmlns:mc="http://schemas.openxmlformats.org/markup-compatibility/2006">
          <mc:Choice Requires="x14">
            <control shapeId="144456" r:id="rId74" name="Option Button 72">
              <controlPr defaultSize="0" autoFill="0" autoLine="0" autoPict="0">
                <anchor moveWithCells="1">
                  <from>
                    <xdr:col>1</xdr:col>
                    <xdr:colOff>438150</xdr:colOff>
                    <xdr:row>77</xdr:row>
                    <xdr:rowOff>31750</xdr:rowOff>
                  </from>
                  <to>
                    <xdr:col>1</xdr:col>
                    <xdr:colOff>990600</xdr:colOff>
                    <xdr:row>77</xdr:row>
                    <xdr:rowOff>184150</xdr:rowOff>
                  </to>
                </anchor>
              </controlPr>
            </control>
          </mc:Choice>
        </mc:AlternateContent>
        <mc:AlternateContent xmlns:mc="http://schemas.openxmlformats.org/markup-compatibility/2006">
          <mc:Choice Requires="x14">
            <control shapeId="144457" r:id="rId75" name="Option Button 73">
              <controlPr defaultSize="0" autoFill="0" autoLine="0" autoPict="0">
                <anchor moveWithCells="1">
                  <from>
                    <xdr:col>1</xdr:col>
                    <xdr:colOff>438150</xdr:colOff>
                    <xdr:row>78</xdr:row>
                    <xdr:rowOff>31750</xdr:rowOff>
                  </from>
                  <to>
                    <xdr:col>1</xdr:col>
                    <xdr:colOff>990600</xdr:colOff>
                    <xdr:row>78</xdr:row>
                    <xdr:rowOff>184150</xdr:rowOff>
                  </to>
                </anchor>
              </controlPr>
            </control>
          </mc:Choice>
        </mc:AlternateContent>
        <mc:AlternateContent xmlns:mc="http://schemas.openxmlformats.org/markup-compatibility/2006">
          <mc:Choice Requires="x14">
            <control shapeId="144458" r:id="rId76" name="Option Button 74">
              <controlPr defaultSize="0" autoFill="0" autoLine="0" autoPict="0">
                <anchor moveWithCells="1">
                  <from>
                    <xdr:col>1</xdr:col>
                    <xdr:colOff>438150</xdr:colOff>
                    <xdr:row>79</xdr:row>
                    <xdr:rowOff>31750</xdr:rowOff>
                  </from>
                  <to>
                    <xdr:col>1</xdr:col>
                    <xdr:colOff>990600</xdr:colOff>
                    <xdr:row>79</xdr:row>
                    <xdr:rowOff>184150</xdr:rowOff>
                  </to>
                </anchor>
              </controlPr>
            </control>
          </mc:Choice>
        </mc:AlternateContent>
        <mc:AlternateContent xmlns:mc="http://schemas.openxmlformats.org/markup-compatibility/2006">
          <mc:Choice Requires="x14">
            <control shapeId="144459" r:id="rId77" name="Option Button 75">
              <controlPr defaultSize="0" autoFill="0" autoLine="0" autoPict="0">
                <anchor moveWithCells="1">
                  <from>
                    <xdr:col>1</xdr:col>
                    <xdr:colOff>438150</xdr:colOff>
                    <xdr:row>80</xdr:row>
                    <xdr:rowOff>31750</xdr:rowOff>
                  </from>
                  <to>
                    <xdr:col>1</xdr:col>
                    <xdr:colOff>990600</xdr:colOff>
                    <xdr:row>80</xdr:row>
                    <xdr:rowOff>184150</xdr:rowOff>
                  </to>
                </anchor>
              </controlPr>
            </control>
          </mc:Choice>
        </mc:AlternateContent>
        <mc:AlternateContent xmlns:mc="http://schemas.openxmlformats.org/markup-compatibility/2006">
          <mc:Choice Requires="x14">
            <control shapeId="144460" r:id="rId78" name="Option Button 76">
              <controlPr defaultSize="0" autoFill="0" autoLine="0" autoPict="0">
                <anchor moveWithCells="1">
                  <from>
                    <xdr:col>1</xdr:col>
                    <xdr:colOff>438150</xdr:colOff>
                    <xdr:row>81</xdr:row>
                    <xdr:rowOff>31750</xdr:rowOff>
                  </from>
                  <to>
                    <xdr:col>1</xdr:col>
                    <xdr:colOff>990600</xdr:colOff>
                    <xdr:row>81</xdr:row>
                    <xdr:rowOff>184150</xdr:rowOff>
                  </to>
                </anchor>
              </controlPr>
            </control>
          </mc:Choice>
        </mc:AlternateContent>
        <mc:AlternateContent xmlns:mc="http://schemas.openxmlformats.org/markup-compatibility/2006">
          <mc:Choice Requires="x14">
            <control shapeId="144461" r:id="rId79" name="Option Button 77">
              <controlPr defaultSize="0" autoFill="0" autoLine="0" autoPict="0">
                <anchor moveWithCells="1">
                  <from>
                    <xdr:col>1</xdr:col>
                    <xdr:colOff>438150</xdr:colOff>
                    <xdr:row>82</xdr:row>
                    <xdr:rowOff>31750</xdr:rowOff>
                  </from>
                  <to>
                    <xdr:col>1</xdr:col>
                    <xdr:colOff>990600</xdr:colOff>
                    <xdr:row>82</xdr:row>
                    <xdr:rowOff>184150</xdr:rowOff>
                  </to>
                </anchor>
              </controlPr>
            </control>
          </mc:Choice>
        </mc:AlternateContent>
        <mc:AlternateContent xmlns:mc="http://schemas.openxmlformats.org/markup-compatibility/2006">
          <mc:Choice Requires="x14">
            <control shapeId="144462" r:id="rId80" name="Option Button 78">
              <controlPr defaultSize="0" autoFill="0" autoLine="0" autoPict="0">
                <anchor moveWithCells="1">
                  <from>
                    <xdr:col>1</xdr:col>
                    <xdr:colOff>438150</xdr:colOff>
                    <xdr:row>83</xdr:row>
                    <xdr:rowOff>31750</xdr:rowOff>
                  </from>
                  <to>
                    <xdr:col>1</xdr:col>
                    <xdr:colOff>990600</xdr:colOff>
                    <xdr:row>83</xdr:row>
                    <xdr:rowOff>184150</xdr:rowOff>
                  </to>
                </anchor>
              </controlPr>
            </control>
          </mc:Choice>
        </mc:AlternateContent>
        <mc:AlternateContent xmlns:mc="http://schemas.openxmlformats.org/markup-compatibility/2006">
          <mc:Choice Requires="x14">
            <control shapeId="144463" r:id="rId81" name="Option Button 79">
              <controlPr defaultSize="0" autoFill="0" autoLine="0" autoPict="0">
                <anchor moveWithCells="1">
                  <from>
                    <xdr:col>1</xdr:col>
                    <xdr:colOff>438150</xdr:colOff>
                    <xdr:row>84</xdr:row>
                    <xdr:rowOff>31750</xdr:rowOff>
                  </from>
                  <to>
                    <xdr:col>1</xdr:col>
                    <xdr:colOff>990600</xdr:colOff>
                    <xdr:row>84</xdr:row>
                    <xdr:rowOff>184150</xdr:rowOff>
                  </to>
                </anchor>
              </controlPr>
            </control>
          </mc:Choice>
        </mc:AlternateContent>
        <mc:AlternateContent xmlns:mc="http://schemas.openxmlformats.org/markup-compatibility/2006">
          <mc:Choice Requires="x14">
            <control shapeId="144464" r:id="rId82" name="Option Button 80">
              <controlPr defaultSize="0" autoFill="0" autoLine="0" autoPict="0">
                <anchor moveWithCells="1">
                  <from>
                    <xdr:col>1</xdr:col>
                    <xdr:colOff>438150</xdr:colOff>
                    <xdr:row>85</xdr:row>
                    <xdr:rowOff>31750</xdr:rowOff>
                  </from>
                  <to>
                    <xdr:col>1</xdr:col>
                    <xdr:colOff>990600</xdr:colOff>
                    <xdr:row>85</xdr:row>
                    <xdr:rowOff>184150</xdr:rowOff>
                  </to>
                </anchor>
              </controlPr>
            </control>
          </mc:Choice>
        </mc:AlternateContent>
        <mc:AlternateContent xmlns:mc="http://schemas.openxmlformats.org/markup-compatibility/2006">
          <mc:Choice Requires="x14">
            <control shapeId="144465" r:id="rId83" name="Option Button 81">
              <controlPr defaultSize="0" autoFill="0" autoLine="0" autoPict="0">
                <anchor moveWithCells="1">
                  <from>
                    <xdr:col>1</xdr:col>
                    <xdr:colOff>438150</xdr:colOff>
                    <xdr:row>86</xdr:row>
                    <xdr:rowOff>31750</xdr:rowOff>
                  </from>
                  <to>
                    <xdr:col>1</xdr:col>
                    <xdr:colOff>990600</xdr:colOff>
                    <xdr:row>86</xdr:row>
                    <xdr:rowOff>184150</xdr:rowOff>
                  </to>
                </anchor>
              </controlPr>
            </control>
          </mc:Choice>
        </mc:AlternateContent>
        <mc:AlternateContent xmlns:mc="http://schemas.openxmlformats.org/markup-compatibility/2006">
          <mc:Choice Requires="x14">
            <control shapeId="144466" r:id="rId84" name="Option Button 82">
              <controlPr defaultSize="0" autoFill="0" autoLine="0" autoPict="0">
                <anchor moveWithCells="1">
                  <from>
                    <xdr:col>1</xdr:col>
                    <xdr:colOff>438150</xdr:colOff>
                    <xdr:row>87</xdr:row>
                    <xdr:rowOff>31750</xdr:rowOff>
                  </from>
                  <to>
                    <xdr:col>1</xdr:col>
                    <xdr:colOff>990600</xdr:colOff>
                    <xdr:row>87</xdr:row>
                    <xdr:rowOff>184150</xdr:rowOff>
                  </to>
                </anchor>
              </controlPr>
            </control>
          </mc:Choice>
        </mc:AlternateContent>
        <mc:AlternateContent xmlns:mc="http://schemas.openxmlformats.org/markup-compatibility/2006">
          <mc:Choice Requires="x14">
            <control shapeId="144467" r:id="rId85" name="Option Button 83">
              <controlPr defaultSize="0" autoFill="0" autoLine="0" autoPict="0">
                <anchor moveWithCells="1">
                  <from>
                    <xdr:col>1</xdr:col>
                    <xdr:colOff>438150</xdr:colOff>
                    <xdr:row>88</xdr:row>
                    <xdr:rowOff>31750</xdr:rowOff>
                  </from>
                  <to>
                    <xdr:col>1</xdr:col>
                    <xdr:colOff>990600</xdr:colOff>
                    <xdr:row>88</xdr:row>
                    <xdr:rowOff>184150</xdr:rowOff>
                  </to>
                </anchor>
              </controlPr>
            </control>
          </mc:Choice>
        </mc:AlternateContent>
        <mc:AlternateContent xmlns:mc="http://schemas.openxmlformats.org/markup-compatibility/2006">
          <mc:Choice Requires="x14">
            <control shapeId="144468" r:id="rId86" name="Option Button 84">
              <controlPr defaultSize="0" autoFill="0" autoLine="0" autoPict="0">
                <anchor moveWithCells="1">
                  <from>
                    <xdr:col>1</xdr:col>
                    <xdr:colOff>438150</xdr:colOff>
                    <xdr:row>89</xdr:row>
                    <xdr:rowOff>31750</xdr:rowOff>
                  </from>
                  <to>
                    <xdr:col>1</xdr:col>
                    <xdr:colOff>990600</xdr:colOff>
                    <xdr:row>89</xdr:row>
                    <xdr:rowOff>184150</xdr:rowOff>
                  </to>
                </anchor>
              </controlPr>
            </control>
          </mc:Choice>
        </mc:AlternateContent>
        <mc:AlternateContent xmlns:mc="http://schemas.openxmlformats.org/markup-compatibility/2006">
          <mc:Choice Requires="x14">
            <control shapeId="144469" r:id="rId87" name="Option Button 85">
              <controlPr defaultSize="0" autoFill="0" autoLine="0" autoPict="0">
                <anchor moveWithCells="1">
                  <from>
                    <xdr:col>1</xdr:col>
                    <xdr:colOff>438150</xdr:colOff>
                    <xdr:row>90</xdr:row>
                    <xdr:rowOff>31750</xdr:rowOff>
                  </from>
                  <to>
                    <xdr:col>1</xdr:col>
                    <xdr:colOff>990600</xdr:colOff>
                    <xdr:row>90</xdr:row>
                    <xdr:rowOff>184150</xdr:rowOff>
                  </to>
                </anchor>
              </controlPr>
            </control>
          </mc:Choice>
        </mc:AlternateContent>
        <mc:AlternateContent xmlns:mc="http://schemas.openxmlformats.org/markup-compatibility/2006">
          <mc:Choice Requires="x14">
            <control shapeId="144470" r:id="rId88" name="Option Button 86">
              <controlPr defaultSize="0" autoFill="0" autoLine="0" autoPict="0">
                <anchor moveWithCells="1">
                  <from>
                    <xdr:col>1</xdr:col>
                    <xdr:colOff>438150</xdr:colOff>
                    <xdr:row>91</xdr:row>
                    <xdr:rowOff>31750</xdr:rowOff>
                  </from>
                  <to>
                    <xdr:col>1</xdr:col>
                    <xdr:colOff>990600</xdr:colOff>
                    <xdr:row>91</xdr:row>
                    <xdr:rowOff>184150</xdr:rowOff>
                  </to>
                </anchor>
              </controlPr>
            </control>
          </mc:Choice>
        </mc:AlternateContent>
        <mc:AlternateContent xmlns:mc="http://schemas.openxmlformats.org/markup-compatibility/2006">
          <mc:Choice Requires="x14">
            <control shapeId="144471" r:id="rId89" name="Option Button 87">
              <controlPr defaultSize="0" autoFill="0" autoLine="0" autoPict="0">
                <anchor moveWithCells="1">
                  <from>
                    <xdr:col>1</xdr:col>
                    <xdr:colOff>438150</xdr:colOff>
                    <xdr:row>92</xdr:row>
                    <xdr:rowOff>31750</xdr:rowOff>
                  </from>
                  <to>
                    <xdr:col>1</xdr:col>
                    <xdr:colOff>990600</xdr:colOff>
                    <xdr:row>92</xdr:row>
                    <xdr:rowOff>184150</xdr:rowOff>
                  </to>
                </anchor>
              </controlPr>
            </control>
          </mc:Choice>
        </mc:AlternateContent>
        <mc:AlternateContent xmlns:mc="http://schemas.openxmlformats.org/markup-compatibility/2006">
          <mc:Choice Requires="x14">
            <control shapeId="144472" r:id="rId90" name="Option Button 88">
              <controlPr defaultSize="0" autoFill="0" autoLine="0" autoPict="0">
                <anchor moveWithCells="1">
                  <from>
                    <xdr:col>1</xdr:col>
                    <xdr:colOff>438150</xdr:colOff>
                    <xdr:row>93</xdr:row>
                    <xdr:rowOff>31750</xdr:rowOff>
                  </from>
                  <to>
                    <xdr:col>1</xdr:col>
                    <xdr:colOff>990600</xdr:colOff>
                    <xdr:row>93</xdr:row>
                    <xdr:rowOff>184150</xdr:rowOff>
                  </to>
                </anchor>
              </controlPr>
            </control>
          </mc:Choice>
        </mc:AlternateContent>
        <mc:AlternateContent xmlns:mc="http://schemas.openxmlformats.org/markup-compatibility/2006">
          <mc:Choice Requires="x14">
            <control shapeId="144473" r:id="rId91" name="Option Button 89">
              <controlPr defaultSize="0" autoFill="0" autoLine="0" autoPict="0">
                <anchor moveWithCells="1">
                  <from>
                    <xdr:col>1</xdr:col>
                    <xdr:colOff>438150</xdr:colOff>
                    <xdr:row>94</xdr:row>
                    <xdr:rowOff>31750</xdr:rowOff>
                  </from>
                  <to>
                    <xdr:col>1</xdr:col>
                    <xdr:colOff>984250</xdr:colOff>
                    <xdr:row>94</xdr:row>
                    <xdr:rowOff>184150</xdr:rowOff>
                  </to>
                </anchor>
              </controlPr>
            </control>
          </mc:Choice>
        </mc:AlternateContent>
        <mc:AlternateContent xmlns:mc="http://schemas.openxmlformats.org/markup-compatibility/2006">
          <mc:Choice Requires="x14">
            <control shapeId="144474" r:id="rId92" name="Option Button 90">
              <controlPr defaultSize="0" autoFill="0" autoLine="0" autoPict="0">
                <anchor moveWithCells="1">
                  <from>
                    <xdr:col>1</xdr:col>
                    <xdr:colOff>438150</xdr:colOff>
                    <xdr:row>95</xdr:row>
                    <xdr:rowOff>31750</xdr:rowOff>
                  </from>
                  <to>
                    <xdr:col>1</xdr:col>
                    <xdr:colOff>990600</xdr:colOff>
                    <xdr:row>95</xdr:row>
                    <xdr:rowOff>184150</xdr:rowOff>
                  </to>
                </anchor>
              </controlPr>
            </control>
          </mc:Choice>
        </mc:AlternateContent>
        <mc:AlternateContent xmlns:mc="http://schemas.openxmlformats.org/markup-compatibility/2006">
          <mc:Choice Requires="x14">
            <control shapeId="144475" r:id="rId93" name="Option Button 91">
              <controlPr defaultSize="0" autoFill="0" autoLine="0" autoPict="0">
                <anchor moveWithCells="1">
                  <from>
                    <xdr:col>1</xdr:col>
                    <xdr:colOff>438150</xdr:colOff>
                    <xdr:row>96</xdr:row>
                    <xdr:rowOff>31750</xdr:rowOff>
                  </from>
                  <to>
                    <xdr:col>1</xdr:col>
                    <xdr:colOff>990600</xdr:colOff>
                    <xdr:row>96</xdr:row>
                    <xdr:rowOff>184150</xdr:rowOff>
                  </to>
                </anchor>
              </controlPr>
            </control>
          </mc:Choice>
        </mc:AlternateContent>
        <mc:AlternateContent xmlns:mc="http://schemas.openxmlformats.org/markup-compatibility/2006">
          <mc:Choice Requires="x14">
            <control shapeId="144476" r:id="rId94" name="Option Button 92">
              <controlPr defaultSize="0" autoFill="0" autoLine="0" autoPict="0">
                <anchor moveWithCells="1">
                  <from>
                    <xdr:col>1</xdr:col>
                    <xdr:colOff>438150</xdr:colOff>
                    <xdr:row>97</xdr:row>
                    <xdr:rowOff>31750</xdr:rowOff>
                  </from>
                  <to>
                    <xdr:col>1</xdr:col>
                    <xdr:colOff>990600</xdr:colOff>
                    <xdr:row>97</xdr:row>
                    <xdr:rowOff>184150</xdr:rowOff>
                  </to>
                </anchor>
              </controlPr>
            </control>
          </mc:Choice>
        </mc:AlternateContent>
        <mc:AlternateContent xmlns:mc="http://schemas.openxmlformats.org/markup-compatibility/2006">
          <mc:Choice Requires="x14">
            <control shapeId="144477" r:id="rId95" name="Option Button 93">
              <controlPr defaultSize="0" autoFill="0" autoLine="0" autoPict="0">
                <anchor moveWithCells="1">
                  <from>
                    <xdr:col>1</xdr:col>
                    <xdr:colOff>438150</xdr:colOff>
                    <xdr:row>98</xdr:row>
                    <xdr:rowOff>31750</xdr:rowOff>
                  </from>
                  <to>
                    <xdr:col>1</xdr:col>
                    <xdr:colOff>990600</xdr:colOff>
                    <xdr:row>98</xdr:row>
                    <xdr:rowOff>184150</xdr:rowOff>
                  </to>
                </anchor>
              </controlPr>
            </control>
          </mc:Choice>
        </mc:AlternateContent>
        <mc:AlternateContent xmlns:mc="http://schemas.openxmlformats.org/markup-compatibility/2006">
          <mc:Choice Requires="x14">
            <control shapeId="144478" r:id="rId96" name="Option Button 94">
              <controlPr defaultSize="0" autoFill="0" autoLine="0" autoPict="0">
                <anchor moveWithCells="1">
                  <from>
                    <xdr:col>1</xdr:col>
                    <xdr:colOff>438150</xdr:colOff>
                    <xdr:row>99</xdr:row>
                    <xdr:rowOff>31750</xdr:rowOff>
                  </from>
                  <to>
                    <xdr:col>1</xdr:col>
                    <xdr:colOff>990600</xdr:colOff>
                    <xdr:row>99</xdr:row>
                    <xdr:rowOff>184150</xdr:rowOff>
                  </to>
                </anchor>
              </controlPr>
            </control>
          </mc:Choice>
        </mc:AlternateContent>
        <mc:AlternateContent xmlns:mc="http://schemas.openxmlformats.org/markup-compatibility/2006">
          <mc:Choice Requires="x14">
            <control shapeId="144479" r:id="rId97" name="Option Button 95">
              <controlPr defaultSize="0" autoFill="0" autoLine="0" autoPict="0">
                <anchor moveWithCells="1">
                  <from>
                    <xdr:col>1</xdr:col>
                    <xdr:colOff>438150</xdr:colOff>
                    <xdr:row>100</xdr:row>
                    <xdr:rowOff>31750</xdr:rowOff>
                  </from>
                  <to>
                    <xdr:col>1</xdr:col>
                    <xdr:colOff>990600</xdr:colOff>
                    <xdr:row>100</xdr:row>
                    <xdr:rowOff>184150</xdr:rowOff>
                  </to>
                </anchor>
              </controlPr>
            </control>
          </mc:Choice>
        </mc:AlternateContent>
        <mc:AlternateContent xmlns:mc="http://schemas.openxmlformats.org/markup-compatibility/2006">
          <mc:Choice Requires="x14">
            <control shapeId="144480" r:id="rId98" name="Option Button 96">
              <controlPr defaultSize="0" autoFill="0" autoLine="0" autoPict="0">
                <anchor moveWithCells="1">
                  <from>
                    <xdr:col>1</xdr:col>
                    <xdr:colOff>438150</xdr:colOff>
                    <xdr:row>101</xdr:row>
                    <xdr:rowOff>31750</xdr:rowOff>
                  </from>
                  <to>
                    <xdr:col>1</xdr:col>
                    <xdr:colOff>990600</xdr:colOff>
                    <xdr:row>101</xdr:row>
                    <xdr:rowOff>184150</xdr:rowOff>
                  </to>
                </anchor>
              </controlPr>
            </control>
          </mc:Choice>
        </mc:AlternateContent>
        <mc:AlternateContent xmlns:mc="http://schemas.openxmlformats.org/markup-compatibility/2006">
          <mc:Choice Requires="x14">
            <control shapeId="144481" r:id="rId99" name="Option Button 97">
              <controlPr defaultSize="0" autoFill="0" autoLine="0" autoPict="0">
                <anchor moveWithCells="1">
                  <from>
                    <xdr:col>1</xdr:col>
                    <xdr:colOff>438150</xdr:colOff>
                    <xdr:row>102</xdr:row>
                    <xdr:rowOff>31750</xdr:rowOff>
                  </from>
                  <to>
                    <xdr:col>1</xdr:col>
                    <xdr:colOff>990600</xdr:colOff>
                    <xdr:row>102</xdr:row>
                    <xdr:rowOff>184150</xdr:rowOff>
                  </to>
                </anchor>
              </controlPr>
            </control>
          </mc:Choice>
        </mc:AlternateContent>
        <mc:AlternateContent xmlns:mc="http://schemas.openxmlformats.org/markup-compatibility/2006">
          <mc:Choice Requires="x14">
            <control shapeId="144482" r:id="rId100" name="Option Button 98">
              <controlPr defaultSize="0" autoFill="0" autoLine="0" autoPict="0">
                <anchor moveWithCells="1">
                  <from>
                    <xdr:col>1</xdr:col>
                    <xdr:colOff>438150</xdr:colOff>
                    <xdr:row>103</xdr:row>
                    <xdr:rowOff>31750</xdr:rowOff>
                  </from>
                  <to>
                    <xdr:col>1</xdr:col>
                    <xdr:colOff>990600</xdr:colOff>
                    <xdr:row>103</xdr:row>
                    <xdr:rowOff>184150</xdr:rowOff>
                  </to>
                </anchor>
              </controlPr>
            </control>
          </mc:Choice>
        </mc:AlternateContent>
        <mc:AlternateContent xmlns:mc="http://schemas.openxmlformats.org/markup-compatibility/2006">
          <mc:Choice Requires="x14">
            <control shapeId="144483" r:id="rId101" name="Option Button 99">
              <controlPr defaultSize="0" autoFill="0" autoLine="0" autoPict="0">
                <anchor moveWithCells="1">
                  <from>
                    <xdr:col>1</xdr:col>
                    <xdr:colOff>438150</xdr:colOff>
                    <xdr:row>104</xdr:row>
                    <xdr:rowOff>31750</xdr:rowOff>
                  </from>
                  <to>
                    <xdr:col>1</xdr:col>
                    <xdr:colOff>990600</xdr:colOff>
                    <xdr:row>104</xdr:row>
                    <xdr:rowOff>184150</xdr:rowOff>
                  </to>
                </anchor>
              </controlPr>
            </control>
          </mc:Choice>
        </mc:AlternateContent>
        <mc:AlternateContent xmlns:mc="http://schemas.openxmlformats.org/markup-compatibility/2006">
          <mc:Choice Requires="x14">
            <control shapeId="144484" r:id="rId102" name="Option Button 100">
              <controlPr defaultSize="0" autoFill="0" autoLine="0" autoPict="0">
                <anchor moveWithCells="1">
                  <from>
                    <xdr:col>1</xdr:col>
                    <xdr:colOff>438150</xdr:colOff>
                    <xdr:row>105</xdr:row>
                    <xdr:rowOff>31750</xdr:rowOff>
                  </from>
                  <to>
                    <xdr:col>1</xdr:col>
                    <xdr:colOff>990600</xdr:colOff>
                    <xdr:row>105</xdr:row>
                    <xdr:rowOff>184150</xdr:rowOff>
                  </to>
                </anchor>
              </controlPr>
            </control>
          </mc:Choice>
        </mc:AlternateContent>
        <mc:AlternateContent xmlns:mc="http://schemas.openxmlformats.org/markup-compatibility/2006">
          <mc:Choice Requires="x14">
            <control shapeId="144485" r:id="rId103" name="Option Button 101">
              <controlPr defaultSize="0" autoFill="0" autoLine="0" autoPict="0">
                <anchor moveWithCells="1">
                  <from>
                    <xdr:col>1</xdr:col>
                    <xdr:colOff>438150</xdr:colOff>
                    <xdr:row>106</xdr:row>
                    <xdr:rowOff>31750</xdr:rowOff>
                  </from>
                  <to>
                    <xdr:col>1</xdr:col>
                    <xdr:colOff>990600</xdr:colOff>
                    <xdr:row>106</xdr:row>
                    <xdr:rowOff>184150</xdr:rowOff>
                  </to>
                </anchor>
              </controlPr>
            </control>
          </mc:Choice>
        </mc:AlternateContent>
        <mc:AlternateContent xmlns:mc="http://schemas.openxmlformats.org/markup-compatibility/2006">
          <mc:Choice Requires="x14">
            <control shapeId="144486" r:id="rId104" name="Option Button 102">
              <controlPr defaultSize="0" autoFill="0" autoLine="0" autoPict="0">
                <anchor moveWithCells="1">
                  <from>
                    <xdr:col>1</xdr:col>
                    <xdr:colOff>438150</xdr:colOff>
                    <xdr:row>107</xdr:row>
                    <xdr:rowOff>31750</xdr:rowOff>
                  </from>
                  <to>
                    <xdr:col>1</xdr:col>
                    <xdr:colOff>990600</xdr:colOff>
                    <xdr:row>107</xdr:row>
                    <xdr:rowOff>184150</xdr:rowOff>
                  </to>
                </anchor>
              </controlPr>
            </control>
          </mc:Choice>
        </mc:AlternateContent>
        <mc:AlternateContent xmlns:mc="http://schemas.openxmlformats.org/markup-compatibility/2006">
          <mc:Choice Requires="x14">
            <control shapeId="144487" r:id="rId105" name="Option Button 103">
              <controlPr defaultSize="0" autoFill="0" autoLine="0" autoPict="0">
                <anchor moveWithCells="1">
                  <from>
                    <xdr:col>1</xdr:col>
                    <xdr:colOff>438150</xdr:colOff>
                    <xdr:row>108</xdr:row>
                    <xdr:rowOff>31750</xdr:rowOff>
                  </from>
                  <to>
                    <xdr:col>1</xdr:col>
                    <xdr:colOff>990600</xdr:colOff>
                    <xdr:row>108</xdr:row>
                    <xdr:rowOff>184150</xdr:rowOff>
                  </to>
                </anchor>
              </controlPr>
            </control>
          </mc:Choice>
        </mc:AlternateContent>
        <mc:AlternateContent xmlns:mc="http://schemas.openxmlformats.org/markup-compatibility/2006">
          <mc:Choice Requires="x14">
            <control shapeId="144488" r:id="rId106" name="Option Button 104">
              <controlPr defaultSize="0" autoFill="0" autoLine="0" autoPict="0">
                <anchor moveWithCells="1">
                  <from>
                    <xdr:col>1</xdr:col>
                    <xdr:colOff>438150</xdr:colOff>
                    <xdr:row>109</xdr:row>
                    <xdr:rowOff>31750</xdr:rowOff>
                  </from>
                  <to>
                    <xdr:col>1</xdr:col>
                    <xdr:colOff>990600</xdr:colOff>
                    <xdr:row>109</xdr:row>
                    <xdr:rowOff>184150</xdr:rowOff>
                  </to>
                </anchor>
              </controlPr>
            </control>
          </mc:Choice>
        </mc:AlternateContent>
        <mc:AlternateContent xmlns:mc="http://schemas.openxmlformats.org/markup-compatibility/2006">
          <mc:Choice Requires="x14">
            <control shapeId="144489" r:id="rId107" name="Option Button 105">
              <controlPr defaultSize="0" autoFill="0" autoLine="0" autoPict="0">
                <anchor moveWithCells="1">
                  <from>
                    <xdr:col>1</xdr:col>
                    <xdr:colOff>438150</xdr:colOff>
                    <xdr:row>110</xdr:row>
                    <xdr:rowOff>31750</xdr:rowOff>
                  </from>
                  <to>
                    <xdr:col>1</xdr:col>
                    <xdr:colOff>990600</xdr:colOff>
                    <xdr:row>110</xdr:row>
                    <xdr:rowOff>184150</xdr:rowOff>
                  </to>
                </anchor>
              </controlPr>
            </control>
          </mc:Choice>
        </mc:AlternateContent>
        <mc:AlternateContent xmlns:mc="http://schemas.openxmlformats.org/markup-compatibility/2006">
          <mc:Choice Requires="x14">
            <control shapeId="144490" r:id="rId108" name="Option Button 106">
              <controlPr defaultSize="0" autoFill="0" autoLine="0" autoPict="0">
                <anchor moveWithCells="1">
                  <from>
                    <xdr:col>1</xdr:col>
                    <xdr:colOff>438150</xdr:colOff>
                    <xdr:row>111</xdr:row>
                    <xdr:rowOff>31750</xdr:rowOff>
                  </from>
                  <to>
                    <xdr:col>1</xdr:col>
                    <xdr:colOff>990600</xdr:colOff>
                    <xdr:row>111</xdr:row>
                    <xdr:rowOff>184150</xdr:rowOff>
                  </to>
                </anchor>
              </controlPr>
            </control>
          </mc:Choice>
        </mc:AlternateContent>
        <mc:AlternateContent xmlns:mc="http://schemas.openxmlformats.org/markup-compatibility/2006">
          <mc:Choice Requires="x14">
            <control shapeId="144491" r:id="rId109" name="Option Button 107">
              <controlPr defaultSize="0" autoFill="0" autoLine="0" autoPict="0">
                <anchor moveWithCells="1">
                  <from>
                    <xdr:col>1</xdr:col>
                    <xdr:colOff>438150</xdr:colOff>
                    <xdr:row>112</xdr:row>
                    <xdr:rowOff>31750</xdr:rowOff>
                  </from>
                  <to>
                    <xdr:col>1</xdr:col>
                    <xdr:colOff>990600</xdr:colOff>
                    <xdr:row>112</xdr:row>
                    <xdr:rowOff>184150</xdr:rowOff>
                  </to>
                </anchor>
              </controlPr>
            </control>
          </mc:Choice>
        </mc:AlternateContent>
        <mc:AlternateContent xmlns:mc="http://schemas.openxmlformats.org/markup-compatibility/2006">
          <mc:Choice Requires="x14">
            <control shapeId="144492" r:id="rId110" name="Option Button 108">
              <controlPr defaultSize="0" autoFill="0" autoLine="0" autoPict="0">
                <anchor moveWithCells="1">
                  <from>
                    <xdr:col>1</xdr:col>
                    <xdr:colOff>438150</xdr:colOff>
                    <xdr:row>113</xdr:row>
                    <xdr:rowOff>31750</xdr:rowOff>
                  </from>
                  <to>
                    <xdr:col>1</xdr:col>
                    <xdr:colOff>990600</xdr:colOff>
                    <xdr:row>113</xdr:row>
                    <xdr:rowOff>184150</xdr:rowOff>
                  </to>
                </anchor>
              </controlPr>
            </control>
          </mc:Choice>
        </mc:AlternateContent>
        <mc:AlternateContent xmlns:mc="http://schemas.openxmlformats.org/markup-compatibility/2006">
          <mc:Choice Requires="x14">
            <control shapeId="144493" r:id="rId111" name="Option Button 109">
              <controlPr defaultSize="0" autoFill="0" autoLine="0" autoPict="0">
                <anchor moveWithCells="1">
                  <from>
                    <xdr:col>1</xdr:col>
                    <xdr:colOff>438150</xdr:colOff>
                    <xdr:row>114</xdr:row>
                    <xdr:rowOff>31750</xdr:rowOff>
                  </from>
                  <to>
                    <xdr:col>1</xdr:col>
                    <xdr:colOff>990600</xdr:colOff>
                    <xdr:row>114</xdr:row>
                    <xdr:rowOff>184150</xdr:rowOff>
                  </to>
                </anchor>
              </controlPr>
            </control>
          </mc:Choice>
        </mc:AlternateContent>
        <mc:AlternateContent xmlns:mc="http://schemas.openxmlformats.org/markup-compatibility/2006">
          <mc:Choice Requires="x14">
            <control shapeId="144494" r:id="rId112" name="Option Button 110">
              <controlPr defaultSize="0" autoFill="0" autoLine="0" autoPict="0">
                <anchor moveWithCells="1">
                  <from>
                    <xdr:col>1</xdr:col>
                    <xdr:colOff>438150</xdr:colOff>
                    <xdr:row>115</xdr:row>
                    <xdr:rowOff>31750</xdr:rowOff>
                  </from>
                  <to>
                    <xdr:col>1</xdr:col>
                    <xdr:colOff>990600</xdr:colOff>
                    <xdr:row>115</xdr:row>
                    <xdr:rowOff>184150</xdr:rowOff>
                  </to>
                </anchor>
              </controlPr>
            </control>
          </mc:Choice>
        </mc:AlternateContent>
        <mc:AlternateContent xmlns:mc="http://schemas.openxmlformats.org/markup-compatibility/2006">
          <mc:Choice Requires="x14">
            <control shapeId="144495" r:id="rId113" name="Option Button 111">
              <controlPr defaultSize="0" autoFill="0" autoLine="0" autoPict="0">
                <anchor moveWithCells="1">
                  <from>
                    <xdr:col>1</xdr:col>
                    <xdr:colOff>438150</xdr:colOff>
                    <xdr:row>116</xdr:row>
                    <xdr:rowOff>31750</xdr:rowOff>
                  </from>
                  <to>
                    <xdr:col>1</xdr:col>
                    <xdr:colOff>990600</xdr:colOff>
                    <xdr:row>116</xdr:row>
                    <xdr:rowOff>184150</xdr:rowOff>
                  </to>
                </anchor>
              </controlPr>
            </control>
          </mc:Choice>
        </mc:AlternateContent>
        <mc:AlternateContent xmlns:mc="http://schemas.openxmlformats.org/markup-compatibility/2006">
          <mc:Choice Requires="x14">
            <control shapeId="144496" r:id="rId114" name="Option Button 112">
              <controlPr defaultSize="0" autoFill="0" autoLine="0" autoPict="0">
                <anchor moveWithCells="1">
                  <from>
                    <xdr:col>1</xdr:col>
                    <xdr:colOff>438150</xdr:colOff>
                    <xdr:row>117</xdr:row>
                    <xdr:rowOff>31750</xdr:rowOff>
                  </from>
                  <to>
                    <xdr:col>1</xdr:col>
                    <xdr:colOff>990600</xdr:colOff>
                    <xdr:row>117</xdr:row>
                    <xdr:rowOff>184150</xdr:rowOff>
                  </to>
                </anchor>
              </controlPr>
            </control>
          </mc:Choice>
        </mc:AlternateContent>
        <mc:AlternateContent xmlns:mc="http://schemas.openxmlformats.org/markup-compatibility/2006">
          <mc:Choice Requires="x14">
            <control shapeId="144497" r:id="rId115" name="Option Button 113">
              <controlPr defaultSize="0" autoFill="0" autoLine="0" autoPict="0">
                <anchor moveWithCells="1">
                  <from>
                    <xdr:col>1</xdr:col>
                    <xdr:colOff>438150</xdr:colOff>
                    <xdr:row>118</xdr:row>
                    <xdr:rowOff>31750</xdr:rowOff>
                  </from>
                  <to>
                    <xdr:col>1</xdr:col>
                    <xdr:colOff>990600</xdr:colOff>
                    <xdr:row>118</xdr:row>
                    <xdr:rowOff>184150</xdr:rowOff>
                  </to>
                </anchor>
              </controlPr>
            </control>
          </mc:Choice>
        </mc:AlternateContent>
        <mc:AlternateContent xmlns:mc="http://schemas.openxmlformats.org/markup-compatibility/2006">
          <mc:Choice Requires="x14">
            <control shapeId="144498" r:id="rId116" name="Option Button 114">
              <controlPr defaultSize="0" autoFill="0" autoLine="0" autoPict="0">
                <anchor moveWithCells="1">
                  <from>
                    <xdr:col>1</xdr:col>
                    <xdr:colOff>438150</xdr:colOff>
                    <xdr:row>119</xdr:row>
                    <xdr:rowOff>31750</xdr:rowOff>
                  </from>
                  <to>
                    <xdr:col>1</xdr:col>
                    <xdr:colOff>990600</xdr:colOff>
                    <xdr:row>119</xdr:row>
                    <xdr:rowOff>184150</xdr:rowOff>
                  </to>
                </anchor>
              </controlPr>
            </control>
          </mc:Choice>
        </mc:AlternateContent>
        <mc:AlternateContent xmlns:mc="http://schemas.openxmlformats.org/markup-compatibility/2006">
          <mc:Choice Requires="x14">
            <control shapeId="144499" r:id="rId117" name="Option Button 115">
              <controlPr defaultSize="0" autoFill="0" autoLine="0" autoPict="0">
                <anchor moveWithCells="1">
                  <from>
                    <xdr:col>1</xdr:col>
                    <xdr:colOff>438150</xdr:colOff>
                    <xdr:row>120</xdr:row>
                    <xdr:rowOff>31750</xdr:rowOff>
                  </from>
                  <to>
                    <xdr:col>1</xdr:col>
                    <xdr:colOff>990600</xdr:colOff>
                    <xdr:row>120</xdr:row>
                    <xdr:rowOff>184150</xdr:rowOff>
                  </to>
                </anchor>
              </controlPr>
            </control>
          </mc:Choice>
        </mc:AlternateContent>
        <mc:AlternateContent xmlns:mc="http://schemas.openxmlformats.org/markup-compatibility/2006">
          <mc:Choice Requires="x14">
            <control shapeId="144500" r:id="rId118" name="Option Button 116">
              <controlPr defaultSize="0" autoFill="0" autoLine="0" autoPict="0">
                <anchor moveWithCells="1">
                  <from>
                    <xdr:col>1</xdr:col>
                    <xdr:colOff>438150</xdr:colOff>
                    <xdr:row>121</xdr:row>
                    <xdr:rowOff>31750</xdr:rowOff>
                  </from>
                  <to>
                    <xdr:col>1</xdr:col>
                    <xdr:colOff>990600</xdr:colOff>
                    <xdr:row>121</xdr:row>
                    <xdr:rowOff>184150</xdr:rowOff>
                  </to>
                </anchor>
              </controlPr>
            </control>
          </mc:Choice>
        </mc:AlternateContent>
        <mc:AlternateContent xmlns:mc="http://schemas.openxmlformats.org/markup-compatibility/2006">
          <mc:Choice Requires="x14">
            <control shapeId="144501" r:id="rId119" name="Option Button 117">
              <controlPr defaultSize="0" autoFill="0" autoLine="0" autoPict="0">
                <anchor moveWithCells="1">
                  <from>
                    <xdr:col>1</xdr:col>
                    <xdr:colOff>438150</xdr:colOff>
                    <xdr:row>122</xdr:row>
                    <xdr:rowOff>31750</xdr:rowOff>
                  </from>
                  <to>
                    <xdr:col>1</xdr:col>
                    <xdr:colOff>990600</xdr:colOff>
                    <xdr:row>122</xdr:row>
                    <xdr:rowOff>184150</xdr:rowOff>
                  </to>
                </anchor>
              </controlPr>
            </control>
          </mc:Choice>
        </mc:AlternateContent>
        <mc:AlternateContent xmlns:mc="http://schemas.openxmlformats.org/markup-compatibility/2006">
          <mc:Choice Requires="x14">
            <control shapeId="144502" r:id="rId120" name="Option Button 118">
              <controlPr defaultSize="0" autoFill="0" autoLine="0" autoPict="0">
                <anchor moveWithCells="1">
                  <from>
                    <xdr:col>1</xdr:col>
                    <xdr:colOff>438150</xdr:colOff>
                    <xdr:row>123</xdr:row>
                    <xdr:rowOff>31750</xdr:rowOff>
                  </from>
                  <to>
                    <xdr:col>1</xdr:col>
                    <xdr:colOff>990600</xdr:colOff>
                    <xdr:row>123</xdr:row>
                    <xdr:rowOff>184150</xdr:rowOff>
                  </to>
                </anchor>
              </controlPr>
            </control>
          </mc:Choice>
        </mc:AlternateContent>
        <mc:AlternateContent xmlns:mc="http://schemas.openxmlformats.org/markup-compatibility/2006">
          <mc:Choice Requires="x14">
            <control shapeId="144503" r:id="rId121" name="Option Button 119">
              <controlPr defaultSize="0" autoFill="0" autoLine="0" autoPict="0">
                <anchor moveWithCells="1">
                  <from>
                    <xdr:col>1</xdr:col>
                    <xdr:colOff>438150</xdr:colOff>
                    <xdr:row>124</xdr:row>
                    <xdr:rowOff>31750</xdr:rowOff>
                  </from>
                  <to>
                    <xdr:col>1</xdr:col>
                    <xdr:colOff>990600</xdr:colOff>
                    <xdr:row>124</xdr:row>
                    <xdr:rowOff>184150</xdr:rowOff>
                  </to>
                </anchor>
              </controlPr>
            </control>
          </mc:Choice>
        </mc:AlternateContent>
        <mc:AlternateContent xmlns:mc="http://schemas.openxmlformats.org/markup-compatibility/2006">
          <mc:Choice Requires="x14">
            <control shapeId="144504" r:id="rId122" name="Option Button 120">
              <controlPr defaultSize="0" autoFill="0" autoLine="0" autoPict="0">
                <anchor moveWithCells="1">
                  <from>
                    <xdr:col>1</xdr:col>
                    <xdr:colOff>438150</xdr:colOff>
                    <xdr:row>125</xdr:row>
                    <xdr:rowOff>31750</xdr:rowOff>
                  </from>
                  <to>
                    <xdr:col>1</xdr:col>
                    <xdr:colOff>990600</xdr:colOff>
                    <xdr:row>125</xdr:row>
                    <xdr:rowOff>184150</xdr:rowOff>
                  </to>
                </anchor>
              </controlPr>
            </control>
          </mc:Choice>
        </mc:AlternateContent>
        <mc:AlternateContent xmlns:mc="http://schemas.openxmlformats.org/markup-compatibility/2006">
          <mc:Choice Requires="x14">
            <control shapeId="144505" r:id="rId123" name="Option Button 121">
              <controlPr defaultSize="0" autoFill="0" autoLine="0" autoPict="0">
                <anchor moveWithCells="1">
                  <from>
                    <xdr:col>1</xdr:col>
                    <xdr:colOff>438150</xdr:colOff>
                    <xdr:row>126</xdr:row>
                    <xdr:rowOff>31750</xdr:rowOff>
                  </from>
                  <to>
                    <xdr:col>1</xdr:col>
                    <xdr:colOff>990600</xdr:colOff>
                    <xdr:row>126</xdr:row>
                    <xdr:rowOff>184150</xdr:rowOff>
                  </to>
                </anchor>
              </controlPr>
            </control>
          </mc:Choice>
        </mc:AlternateContent>
        <mc:AlternateContent xmlns:mc="http://schemas.openxmlformats.org/markup-compatibility/2006">
          <mc:Choice Requires="x14">
            <control shapeId="144506" r:id="rId124" name="Option Button 122">
              <controlPr defaultSize="0" autoFill="0" autoLine="0" autoPict="0">
                <anchor moveWithCells="1">
                  <from>
                    <xdr:col>1</xdr:col>
                    <xdr:colOff>438150</xdr:colOff>
                    <xdr:row>127</xdr:row>
                    <xdr:rowOff>31750</xdr:rowOff>
                  </from>
                  <to>
                    <xdr:col>1</xdr:col>
                    <xdr:colOff>990600</xdr:colOff>
                    <xdr:row>127</xdr:row>
                    <xdr:rowOff>184150</xdr:rowOff>
                  </to>
                </anchor>
              </controlPr>
            </control>
          </mc:Choice>
        </mc:AlternateContent>
        <mc:AlternateContent xmlns:mc="http://schemas.openxmlformats.org/markup-compatibility/2006">
          <mc:Choice Requires="x14">
            <control shapeId="144507" r:id="rId125" name="Option Button 123">
              <controlPr defaultSize="0" autoFill="0" autoLine="0" autoPict="0">
                <anchor moveWithCells="1">
                  <from>
                    <xdr:col>1</xdr:col>
                    <xdr:colOff>438150</xdr:colOff>
                    <xdr:row>128</xdr:row>
                    <xdr:rowOff>31750</xdr:rowOff>
                  </from>
                  <to>
                    <xdr:col>1</xdr:col>
                    <xdr:colOff>990600</xdr:colOff>
                    <xdr:row>128</xdr:row>
                    <xdr:rowOff>184150</xdr:rowOff>
                  </to>
                </anchor>
              </controlPr>
            </control>
          </mc:Choice>
        </mc:AlternateContent>
        <mc:AlternateContent xmlns:mc="http://schemas.openxmlformats.org/markup-compatibility/2006">
          <mc:Choice Requires="x14">
            <control shapeId="144508" r:id="rId126" name="Option Button 124">
              <controlPr defaultSize="0" autoFill="0" autoLine="0" autoPict="0">
                <anchor moveWithCells="1">
                  <from>
                    <xdr:col>1</xdr:col>
                    <xdr:colOff>438150</xdr:colOff>
                    <xdr:row>129</xdr:row>
                    <xdr:rowOff>31750</xdr:rowOff>
                  </from>
                  <to>
                    <xdr:col>1</xdr:col>
                    <xdr:colOff>990600</xdr:colOff>
                    <xdr:row>129</xdr:row>
                    <xdr:rowOff>184150</xdr:rowOff>
                  </to>
                </anchor>
              </controlPr>
            </control>
          </mc:Choice>
        </mc:AlternateContent>
        <mc:AlternateContent xmlns:mc="http://schemas.openxmlformats.org/markup-compatibility/2006">
          <mc:Choice Requires="x14">
            <control shapeId="144509" r:id="rId127" name="Option Button 125">
              <controlPr defaultSize="0" autoFill="0" autoLine="0" autoPict="0">
                <anchor moveWithCells="1">
                  <from>
                    <xdr:col>1</xdr:col>
                    <xdr:colOff>438150</xdr:colOff>
                    <xdr:row>130</xdr:row>
                    <xdr:rowOff>31750</xdr:rowOff>
                  </from>
                  <to>
                    <xdr:col>1</xdr:col>
                    <xdr:colOff>990600</xdr:colOff>
                    <xdr:row>130</xdr:row>
                    <xdr:rowOff>184150</xdr:rowOff>
                  </to>
                </anchor>
              </controlPr>
            </control>
          </mc:Choice>
        </mc:AlternateContent>
        <mc:AlternateContent xmlns:mc="http://schemas.openxmlformats.org/markup-compatibility/2006">
          <mc:Choice Requires="x14">
            <control shapeId="144510" r:id="rId128" name="Option Button 126">
              <controlPr defaultSize="0" autoFill="0" autoLine="0" autoPict="0">
                <anchor moveWithCells="1">
                  <from>
                    <xdr:col>1</xdr:col>
                    <xdr:colOff>438150</xdr:colOff>
                    <xdr:row>131</xdr:row>
                    <xdr:rowOff>31750</xdr:rowOff>
                  </from>
                  <to>
                    <xdr:col>1</xdr:col>
                    <xdr:colOff>990600</xdr:colOff>
                    <xdr:row>131</xdr:row>
                    <xdr:rowOff>184150</xdr:rowOff>
                  </to>
                </anchor>
              </controlPr>
            </control>
          </mc:Choice>
        </mc:AlternateContent>
        <mc:AlternateContent xmlns:mc="http://schemas.openxmlformats.org/markup-compatibility/2006">
          <mc:Choice Requires="x14">
            <control shapeId="144511" r:id="rId129" name="Option Button 127">
              <controlPr defaultSize="0" autoFill="0" autoLine="0" autoPict="0">
                <anchor moveWithCells="1">
                  <from>
                    <xdr:col>1</xdr:col>
                    <xdr:colOff>438150</xdr:colOff>
                    <xdr:row>132</xdr:row>
                    <xdr:rowOff>31750</xdr:rowOff>
                  </from>
                  <to>
                    <xdr:col>1</xdr:col>
                    <xdr:colOff>990600</xdr:colOff>
                    <xdr:row>132</xdr:row>
                    <xdr:rowOff>184150</xdr:rowOff>
                  </to>
                </anchor>
              </controlPr>
            </control>
          </mc:Choice>
        </mc:AlternateContent>
        <mc:AlternateContent xmlns:mc="http://schemas.openxmlformats.org/markup-compatibility/2006">
          <mc:Choice Requires="x14">
            <control shapeId="144512" r:id="rId130" name="Option Button 128">
              <controlPr defaultSize="0" autoFill="0" autoLine="0" autoPict="0">
                <anchor moveWithCells="1">
                  <from>
                    <xdr:col>1</xdr:col>
                    <xdr:colOff>438150</xdr:colOff>
                    <xdr:row>133</xdr:row>
                    <xdr:rowOff>31750</xdr:rowOff>
                  </from>
                  <to>
                    <xdr:col>1</xdr:col>
                    <xdr:colOff>990600</xdr:colOff>
                    <xdr:row>133</xdr:row>
                    <xdr:rowOff>184150</xdr:rowOff>
                  </to>
                </anchor>
              </controlPr>
            </control>
          </mc:Choice>
        </mc:AlternateContent>
        <mc:AlternateContent xmlns:mc="http://schemas.openxmlformats.org/markup-compatibility/2006">
          <mc:Choice Requires="x14">
            <control shapeId="144513" r:id="rId131" name="Option Button 129">
              <controlPr defaultSize="0" autoFill="0" autoLine="0" autoPict="0">
                <anchor moveWithCells="1">
                  <from>
                    <xdr:col>1</xdr:col>
                    <xdr:colOff>438150</xdr:colOff>
                    <xdr:row>134</xdr:row>
                    <xdr:rowOff>31750</xdr:rowOff>
                  </from>
                  <to>
                    <xdr:col>1</xdr:col>
                    <xdr:colOff>990600</xdr:colOff>
                    <xdr:row>134</xdr:row>
                    <xdr:rowOff>184150</xdr:rowOff>
                  </to>
                </anchor>
              </controlPr>
            </control>
          </mc:Choice>
        </mc:AlternateContent>
        <mc:AlternateContent xmlns:mc="http://schemas.openxmlformats.org/markup-compatibility/2006">
          <mc:Choice Requires="x14">
            <control shapeId="144514" r:id="rId132" name="Option Button 130">
              <controlPr defaultSize="0" autoFill="0" autoLine="0" autoPict="0">
                <anchor moveWithCells="1">
                  <from>
                    <xdr:col>1</xdr:col>
                    <xdr:colOff>438150</xdr:colOff>
                    <xdr:row>135</xdr:row>
                    <xdr:rowOff>31750</xdr:rowOff>
                  </from>
                  <to>
                    <xdr:col>1</xdr:col>
                    <xdr:colOff>990600</xdr:colOff>
                    <xdr:row>135</xdr:row>
                    <xdr:rowOff>184150</xdr:rowOff>
                  </to>
                </anchor>
              </controlPr>
            </control>
          </mc:Choice>
        </mc:AlternateContent>
        <mc:AlternateContent xmlns:mc="http://schemas.openxmlformats.org/markup-compatibility/2006">
          <mc:Choice Requires="x14">
            <control shapeId="144515" r:id="rId133" name="Option Button 131">
              <controlPr defaultSize="0" autoFill="0" autoLine="0" autoPict="0">
                <anchor moveWithCells="1">
                  <from>
                    <xdr:col>1</xdr:col>
                    <xdr:colOff>438150</xdr:colOff>
                    <xdr:row>136</xdr:row>
                    <xdr:rowOff>31750</xdr:rowOff>
                  </from>
                  <to>
                    <xdr:col>1</xdr:col>
                    <xdr:colOff>990600</xdr:colOff>
                    <xdr:row>136</xdr:row>
                    <xdr:rowOff>184150</xdr:rowOff>
                  </to>
                </anchor>
              </controlPr>
            </control>
          </mc:Choice>
        </mc:AlternateContent>
        <mc:AlternateContent xmlns:mc="http://schemas.openxmlformats.org/markup-compatibility/2006">
          <mc:Choice Requires="x14">
            <control shapeId="144516" r:id="rId134" name="Option Button 132">
              <controlPr defaultSize="0" autoFill="0" autoLine="0" autoPict="0">
                <anchor moveWithCells="1">
                  <from>
                    <xdr:col>1</xdr:col>
                    <xdr:colOff>438150</xdr:colOff>
                    <xdr:row>137</xdr:row>
                    <xdr:rowOff>31750</xdr:rowOff>
                  </from>
                  <to>
                    <xdr:col>1</xdr:col>
                    <xdr:colOff>990600</xdr:colOff>
                    <xdr:row>137</xdr:row>
                    <xdr:rowOff>184150</xdr:rowOff>
                  </to>
                </anchor>
              </controlPr>
            </control>
          </mc:Choice>
        </mc:AlternateContent>
        <mc:AlternateContent xmlns:mc="http://schemas.openxmlformats.org/markup-compatibility/2006">
          <mc:Choice Requires="x14">
            <control shapeId="144517" r:id="rId135" name="Option Button 133">
              <controlPr defaultSize="0" autoFill="0" autoLine="0" autoPict="0">
                <anchor moveWithCells="1">
                  <from>
                    <xdr:col>1</xdr:col>
                    <xdr:colOff>438150</xdr:colOff>
                    <xdr:row>138</xdr:row>
                    <xdr:rowOff>31750</xdr:rowOff>
                  </from>
                  <to>
                    <xdr:col>1</xdr:col>
                    <xdr:colOff>990600</xdr:colOff>
                    <xdr:row>138</xdr:row>
                    <xdr:rowOff>184150</xdr:rowOff>
                  </to>
                </anchor>
              </controlPr>
            </control>
          </mc:Choice>
        </mc:AlternateContent>
        <mc:AlternateContent xmlns:mc="http://schemas.openxmlformats.org/markup-compatibility/2006">
          <mc:Choice Requires="x14">
            <control shapeId="144518" r:id="rId136" name="Option Button 134">
              <controlPr defaultSize="0" autoFill="0" autoLine="0" autoPict="0">
                <anchor moveWithCells="1">
                  <from>
                    <xdr:col>1</xdr:col>
                    <xdr:colOff>438150</xdr:colOff>
                    <xdr:row>139</xdr:row>
                    <xdr:rowOff>31750</xdr:rowOff>
                  </from>
                  <to>
                    <xdr:col>1</xdr:col>
                    <xdr:colOff>990600</xdr:colOff>
                    <xdr:row>139</xdr:row>
                    <xdr:rowOff>184150</xdr:rowOff>
                  </to>
                </anchor>
              </controlPr>
            </control>
          </mc:Choice>
        </mc:AlternateContent>
        <mc:AlternateContent xmlns:mc="http://schemas.openxmlformats.org/markup-compatibility/2006">
          <mc:Choice Requires="x14">
            <control shapeId="144519" r:id="rId137" name="Option Button 135">
              <controlPr defaultSize="0" autoFill="0" autoLine="0" autoPict="0">
                <anchor moveWithCells="1">
                  <from>
                    <xdr:col>1</xdr:col>
                    <xdr:colOff>438150</xdr:colOff>
                    <xdr:row>140</xdr:row>
                    <xdr:rowOff>31750</xdr:rowOff>
                  </from>
                  <to>
                    <xdr:col>1</xdr:col>
                    <xdr:colOff>990600</xdr:colOff>
                    <xdr:row>140</xdr:row>
                    <xdr:rowOff>184150</xdr:rowOff>
                  </to>
                </anchor>
              </controlPr>
            </control>
          </mc:Choice>
        </mc:AlternateContent>
        <mc:AlternateContent xmlns:mc="http://schemas.openxmlformats.org/markup-compatibility/2006">
          <mc:Choice Requires="x14">
            <control shapeId="144520" r:id="rId138" name="Option Button 136">
              <controlPr defaultSize="0" autoFill="0" autoLine="0" autoPict="0">
                <anchor moveWithCells="1">
                  <from>
                    <xdr:col>1</xdr:col>
                    <xdr:colOff>438150</xdr:colOff>
                    <xdr:row>141</xdr:row>
                    <xdr:rowOff>31750</xdr:rowOff>
                  </from>
                  <to>
                    <xdr:col>1</xdr:col>
                    <xdr:colOff>990600</xdr:colOff>
                    <xdr:row>141</xdr:row>
                    <xdr:rowOff>184150</xdr:rowOff>
                  </to>
                </anchor>
              </controlPr>
            </control>
          </mc:Choice>
        </mc:AlternateContent>
        <mc:AlternateContent xmlns:mc="http://schemas.openxmlformats.org/markup-compatibility/2006">
          <mc:Choice Requires="x14">
            <control shapeId="144521" r:id="rId139" name="Option Button 137">
              <controlPr defaultSize="0" autoFill="0" autoLine="0" autoPict="0">
                <anchor moveWithCells="1">
                  <from>
                    <xdr:col>1</xdr:col>
                    <xdr:colOff>438150</xdr:colOff>
                    <xdr:row>142</xdr:row>
                    <xdr:rowOff>31750</xdr:rowOff>
                  </from>
                  <to>
                    <xdr:col>1</xdr:col>
                    <xdr:colOff>990600</xdr:colOff>
                    <xdr:row>142</xdr:row>
                    <xdr:rowOff>184150</xdr:rowOff>
                  </to>
                </anchor>
              </controlPr>
            </control>
          </mc:Choice>
        </mc:AlternateContent>
        <mc:AlternateContent xmlns:mc="http://schemas.openxmlformats.org/markup-compatibility/2006">
          <mc:Choice Requires="x14">
            <control shapeId="144522" r:id="rId140" name="Option Button 138">
              <controlPr defaultSize="0" autoFill="0" autoLine="0" autoPict="0">
                <anchor moveWithCells="1">
                  <from>
                    <xdr:col>1</xdr:col>
                    <xdr:colOff>438150</xdr:colOff>
                    <xdr:row>143</xdr:row>
                    <xdr:rowOff>31750</xdr:rowOff>
                  </from>
                  <to>
                    <xdr:col>1</xdr:col>
                    <xdr:colOff>990600</xdr:colOff>
                    <xdr:row>143</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59"/>
  <sheetViews>
    <sheetView showGridLines="0" zoomScale="85" zoomScaleNormal="85" workbookViewId="0"/>
  </sheetViews>
  <sheetFormatPr defaultColWidth="9" defaultRowHeight="16"/>
  <cols>
    <col min="1" max="1" width="2.36328125" style="286" customWidth="1"/>
    <col min="2" max="6" width="9" style="286"/>
    <col min="7" max="8" width="9" style="286" customWidth="1"/>
    <col min="9" max="9" width="9" style="286"/>
    <col min="10" max="10" width="12.6328125" style="286" customWidth="1"/>
    <col min="11" max="15" width="9" style="286"/>
    <col min="16" max="16" width="12.6328125" style="286" customWidth="1"/>
    <col min="17" max="17" width="2.36328125" style="286" customWidth="1"/>
    <col min="18" max="16384" width="9" style="286"/>
  </cols>
  <sheetData>
    <row r="1" spans="1:17" ht="16.5" thickTop="1">
      <c r="A1" s="284"/>
      <c r="B1" s="2607" t="s">
        <v>5565</v>
      </c>
      <c r="C1" s="2607"/>
      <c r="D1" s="2607"/>
      <c r="E1" s="2607"/>
      <c r="F1" s="2607"/>
      <c r="G1" s="2607"/>
      <c r="H1" s="2607"/>
      <c r="I1" s="2607"/>
      <c r="J1" s="2607"/>
      <c r="K1" s="2607"/>
      <c r="L1" s="2607"/>
      <c r="M1" s="2607"/>
      <c r="N1" s="2607"/>
      <c r="O1" s="2607"/>
      <c r="P1" s="2607"/>
      <c r="Q1" s="285"/>
    </row>
    <row r="2" spans="1:17">
      <c r="A2" s="287"/>
      <c r="B2" s="2608"/>
      <c r="C2" s="2608"/>
      <c r="D2" s="2608"/>
      <c r="E2" s="2608"/>
      <c r="F2" s="2608"/>
      <c r="G2" s="2608"/>
      <c r="H2" s="2608"/>
      <c r="I2" s="2608"/>
      <c r="J2" s="2608"/>
      <c r="K2" s="2608"/>
      <c r="L2" s="2608"/>
      <c r="M2" s="2608"/>
      <c r="N2" s="2608"/>
      <c r="O2" s="2608"/>
      <c r="P2" s="2608"/>
      <c r="Q2" s="288"/>
    </row>
    <row r="3" spans="1:17" ht="22">
      <c r="A3" s="287"/>
      <c r="B3" s="289" t="s">
        <v>1012</v>
      </c>
      <c r="C3" s="289"/>
      <c r="E3" s="290"/>
      <c r="F3" s="291"/>
      <c r="G3" s="291"/>
      <c r="H3" s="291"/>
      <c r="I3" s="291"/>
      <c r="Q3" s="288"/>
    </row>
    <row r="4" spans="1:17">
      <c r="A4" s="287"/>
      <c r="Q4" s="288"/>
    </row>
    <row r="5" spans="1:17" ht="16.5" thickBot="1">
      <c r="A5" s="287"/>
      <c r="B5" s="286" t="s">
        <v>1013</v>
      </c>
      <c r="Q5" s="288"/>
    </row>
    <row r="6" spans="1:17" ht="16.5" thickTop="1">
      <c r="A6" s="287"/>
      <c r="B6" s="2609"/>
      <c r="C6" s="2610"/>
      <c r="D6" s="2611"/>
      <c r="E6" s="2609" t="s">
        <v>1014</v>
      </c>
      <c r="F6" s="2610"/>
      <c r="G6" s="2610"/>
      <c r="H6" s="2610"/>
      <c r="I6" s="2610"/>
      <c r="J6" s="2611"/>
      <c r="K6" s="2609" t="s">
        <v>1015</v>
      </c>
      <c r="L6" s="2610"/>
      <c r="M6" s="2610"/>
      <c r="N6" s="2610"/>
      <c r="O6" s="2610"/>
      <c r="P6" s="2611"/>
      <c r="Q6" s="288"/>
    </row>
    <row r="7" spans="1:17">
      <c r="A7" s="287"/>
      <c r="B7" s="2612"/>
      <c r="C7" s="2613"/>
      <c r="D7" s="2614"/>
      <c r="E7" s="2612"/>
      <c r="F7" s="2613"/>
      <c r="G7" s="2613"/>
      <c r="H7" s="2613"/>
      <c r="I7" s="2613"/>
      <c r="J7" s="2614"/>
      <c r="K7" s="2615"/>
      <c r="L7" s="2616"/>
      <c r="M7" s="2616"/>
      <c r="N7" s="2616"/>
      <c r="O7" s="2616"/>
      <c r="P7" s="2617"/>
      <c r="Q7" s="288"/>
    </row>
    <row r="8" spans="1:17">
      <c r="A8" s="287"/>
      <c r="B8" s="2618" t="s">
        <v>1016</v>
      </c>
      <c r="C8" s="2619"/>
      <c r="D8" s="2620"/>
      <c r="E8" s="292" t="s">
        <v>1017</v>
      </c>
      <c r="F8" s="1065"/>
      <c r="G8" s="1065"/>
      <c r="H8" s="1065"/>
      <c r="I8" s="1065"/>
      <c r="J8" s="293"/>
      <c r="K8" s="292" t="s">
        <v>1018</v>
      </c>
      <c r="L8" s="1065"/>
      <c r="M8" s="1065"/>
      <c r="N8" s="1065"/>
      <c r="O8" s="1065"/>
      <c r="P8" s="293"/>
      <c r="Q8" s="288"/>
    </row>
    <row r="9" spans="1:17">
      <c r="A9" s="287"/>
      <c r="B9" s="2621"/>
      <c r="C9" s="2622"/>
      <c r="D9" s="2623"/>
      <c r="E9" s="294" t="s">
        <v>1019</v>
      </c>
      <c r="F9" s="295"/>
      <c r="G9" s="295"/>
      <c r="H9" s="295"/>
      <c r="I9" s="295"/>
      <c r="J9" s="296"/>
      <c r="K9" s="294" t="s">
        <v>4078</v>
      </c>
      <c r="L9" s="295"/>
      <c r="M9" s="295"/>
      <c r="N9" s="295"/>
      <c r="O9" s="295"/>
      <c r="P9" s="296"/>
      <c r="Q9" s="288"/>
    </row>
    <row r="10" spans="1:17">
      <c r="A10" s="287"/>
      <c r="B10" s="2621"/>
      <c r="C10" s="2622"/>
      <c r="D10" s="2623"/>
      <c r="E10" s="294" t="s">
        <v>1020</v>
      </c>
      <c r="F10" s="295"/>
      <c r="G10" s="295"/>
      <c r="H10" s="295"/>
      <c r="I10" s="295"/>
      <c r="J10" s="296"/>
      <c r="K10" s="294" t="s">
        <v>4079</v>
      </c>
      <c r="L10" s="295"/>
      <c r="M10" s="295"/>
      <c r="N10" s="295"/>
      <c r="O10" s="295"/>
      <c r="P10" s="296"/>
      <c r="Q10" s="288"/>
    </row>
    <row r="11" spans="1:17">
      <c r="A11" s="287"/>
      <c r="B11" s="2621"/>
      <c r="C11" s="2622"/>
      <c r="D11" s="2623"/>
      <c r="E11" s="294"/>
      <c r="F11" s="295"/>
      <c r="G11" s="295"/>
      <c r="H11" s="295"/>
      <c r="I11" s="295"/>
      <c r="J11" s="296"/>
      <c r="K11" s="294" t="s">
        <v>4080</v>
      </c>
      <c r="L11" s="295"/>
      <c r="M11" s="295"/>
      <c r="N11" s="295"/>
      <c r="O11" s="295"/>
      <c r="P11" s="296"/>
      <c r="Q11" s="288"/>
    </row>
    <row r="12" spans="1:17">
      <c r="A12" s="287"/>
      <c r="B12" s="2621"/>
      <c r="C12" s="2622"/>
      <c r="D12" s="2623"/>
      <c r="E12" s="294"/>
      <c r="F12" s="295"/>
      <c r="G12" s="295"/>
      <c r="H12" s="295"/>
      <c r="I12" s="295"/>
      <c r="J12" s="296"/>
      <c r="K12" s="294" t="s">
        <v>4081</v>
      </c>
      <c r="L12" s="298"/>
      <c r="M12" s="295"/>
      <c r="N12" s="295"/>
      <c r="O12" s="295"/>
      <c r="P12" s="296"/>
      <c r="Q12" s="288"/>
    </row>
    <row r="13" spans="1:17">
      <c r="A13" s="287"/>
      <c r="B13" s="2621"/>
      <c r="C13" s="2622"/>
      <c r="D13" s="2623"/>
      <c r="E13" s="294"/>
      <c r="F13" s="295"/>
      <c r="G13" s="295"/>
      <c r="H13" s="295"/>
      <c r="I13" s="295"/>
      <c r="J13" s="296"/>
      <c r="K13" s="294" t="s">
        <v>4082</v>
      </c>
      <c r="L13" s="295"/>
      <c r="M13" s="295"/>
      <c r="N13" s="295"/>
      <c r="O13" s="295"/>
      <c r="P13" s="296"/>
      <c r="Q13" s="288"/>
    </row>
    <row r="14" spans="1:17">
      <c r="A14" s="287"/>
      <c r="B14" s="2621"/>
      <c r="C14" s="2622"/>
      <c r="D14" s="2623"/>
      <c r="E14" s="294"/>
      <c r="F14" s="295"/>
      <c r="G14" s="295"/>
      <c r="H14" s="295"/>
      <c r="I14" s="295"/>
      <c r="J14" s="296"/>
      <c r="K14" s="294"/>
      <c r="L14" s="295"/>
      <c r="M14" s="295"/>
      <c r="N14" s="295"/>
      <c r="O14" s="295"/>
      <c r="P14" s="296"/>
      <c r="Q14" s="288"/>
    </row>
    <row r="15" spans="1:17">
      <c r="A15" s="287"/>
      <c r="B15" s="2621"/>
      <c r="C15" s="2622"/>
      <c r="D15" s="2623"/>
      <c r="E15" s="294"/>
      <c r="F15" s="295"/>
      <c r="G15" s="295"/>
      <c r="H15" s="295"/>
      <c r="I15" s="295"/>
      <c r="J15" s="296"/>
      <c r="K15" s="297" t="s">
        <v>1021</v>
      </c>
      <c r="L15" s="295"/>
      <c r="M15" s="295"/>
      <c r="N15" s="295"/>
      <c r="O15" s="295"/>
      <c r="P15" s="296"/>
      <c r="Q15" s="288"/>
    </row>
    <row r="16" spans="1:17">
      <c r="A16" s="287"/>
      <c r="B16" s="2621"/>
      <c r="C16" s="2622"/>
      <c r="D16" s="2623"/>
      <c r="E16" s="294"/>
      <c r="F16" s="295"/>
      <c r="G16" s="295"/>
      <c r="H16" s="295"/>
      <c r="I16" s="295"/>
      <c r="J16" s="296"/>
      <c r="K16" s="297" t="s">
        <v>1022</v>
      </c>
      <c r="L16" s="295"/>
      <c r="M16" s="295"/>
      <c r="N16" s="295"/>
      <c r="O16" s="295"/>
      <c r="P16" s="296"/>
      <c r="Q16" s="288"/>
    </row>
    <row r="17" spans="1:17">
      <c r="A17" s="287"/>
      <c r="B17" s="2621"/>
      <c r="C17" s="2622"/>
      <c r="D17" s="2623"/>
      <c r="E17" s="294"/>
      <c r="F17" s="295"/>
      <c r="G17" s="295"/>
      <c r="H17" s="295"/>
      <c r="I17" s="295"/>
      <c r="J17" s="296"/>
      <c r="K17" s="297" t="s">
        <v>1023</v>
      </c>
      <c r="L17" s="295"/>
      <c r="M17" s="295"/>
      <c r="N17" s="295"/>
      <c r="O17" s="295"/>
      <c r="P17" s="296"/>
      <c r="Q17" s="288"/>
    </row>
    <row r="18" spans="1:17">
      <c r="A18" s="287"/>
      <c r="B18" s="2621"/>
      <c r="C18" s="2622"/>
      <c r="D18" s="2623"/>
      <c r="E18" s="294"/>
      <c r="F18" s="295"/>
      <c r="G18" s="295"/>
      <c r="H18" s="295"/>
      <c r="I18" s="295"/>
      <c r="J18" s="296"/>
      <c r="K18" s="297" t="s">
        <v>1024</v>
      </c>
      <c r="L18" s="295"/>
      <c r="M18" s="295"/>
      <c r="N18" s="295"/>
      <c r="O18" s="295"/>
      <c r="P18" s="296"/>
      <c r="Q18" s="288"/>
    </row>
    <row r="19" spans="1:17" ht="16.5" thickBot="1">
      <c r="A19" s="287"/>
      <c r="B19" s="2624"/>
      <c r="C19" s="2625"/>
      <c r="D19" s="2626"/>
      <c r="E19" s="299"/>
      <c r="F19" s="300"/>
      <c r="G19" s="300"/>
      <c r="H19" s="300"/>
      <c r="I19" s="300"/>
      <c r="J19" s="301"/>
      <c r="K19" s="302" t="s">
        <v>1025</v>
      </c>
      <c r="L19" s="300"/>
      <c r="M19" s="300"/>
      <c r="N19" s="300"/>
      <c r="O19" s="300"/>
      <c r="P19" s="301"/>
      <c r="Q19" s="288"/>
    </row>
    <row r="20" spans="1:17" ht="16.5" thickTop="1">
      <c r="A20" s="287"/>
      <c r="Q20" s="288"/>
    </row>
    <row r="21" spans="1:17" ht="22">
      <c r="A21" s="287"/>
      <c r="B21" s="289" t="s">
        <v>1026</v>
      </c>
      <c r="C21" s="289"/>
      <c r="E21" s="290"/>
      <c r="F21" s="291"/>
      <c r="G21" s="291"/>
      <c r="H21" s="291"/>
      <c r="I21" s="291"/>
      <c r="Q21" s="288"/>
    </row>
    <row r="22" spans="1:17">
      <c r="A22" s="287"/>
      <c r="Q22" s="288"/>
    </row>
    <row r="23" spans="1:17" ht="16.5" thickBot="1">
      <c r="A23" s="287"/>
      <c r="B23" s="286" t="s">
        <v>1027</v>
      </c>
      <c r="Q23" s="288"/>
    </row>
    <row r="24" spans="1:17" ht="16.5" thickTop="1">
      <c r="A24" s="287"/>
      <c r="B24" s="2597" t="s">
        <v>1028</v>
      </c>
      <c r="C24" s="2598"/>
      <c r="D24" s="2599"/>
      <c r="E24" s="2599" t="s">
        <v>1029</v>
      </c>
      <c r="F24" s="2599"/>
      <c r="G24" s="2599"/>
      <c r="H24" s="2599"/>
      <c r="I24" s="2599"/>
      <c r="J24" s="2599"/>
      <c r="K24" s="2599" t="s">
        <v>1030</v>
      </c>
      <c r="L24" s="2599"/>
      <c r="M24" s="2599"/>
      <c r="N24" s="2599"/>
      <c r="O24" s="2603"/>
      <c r="P24" s="2604"/>
      <c r="Q24" s="288"/>
    </row>
    <row r="25" spans="1:17">
      <c r="A25" s="287"/>
      <c r="B25" s="2600"/>
      <c r="C25" s="2601"/>
      <c r="D25" s="2602"/>
      <c r="E25" s="2602"/>
      <c r="F25" s="2602"/>
      <c r="G25" s="2602"/>
      <c r="H25" s="2602"/>
      <c r="I25" s="2602"/>
      <c r="J25" s="2602"/>
      <c r="K25" s="2602"/>
      <c r="L25" s="2602"/>
      <c r="M25" s="2602"/>
      <c r="N25" s="2602"/>
      <c r="O25" s="2605"/>
      <c r="P25" s="2606"/>
      <c r="Q25" s="288"/>
    </row>
    <row r="26" spans="1:17">
      <c r="A26" s="287"/>
      <c r="B26" s="2588" t="s">
        <v>874</v>
      </c>
      <c r="C26" s="2589"/>
      <c r="D26" s="2590"/>
      <c r="E26" s="2591" t="s">
        <v>1031</v>
      </c>
      <c r="F26" s="2591"/>
      <c r="G26" s="2591"/>
      <c r="H26" s="2591"/>
      <c r="I26" s="2591"/>
      <c r="J26" s="2592"/>
      <c r="K26" s="2592" t="s">
        <v>1032</v>
      </c>
      <c r="L26" s="2592"/>
      <c r="M26" s="2592"/>
      <c r="N26" s="2592"/>
      <c r="O26" s="2593"/>
      <c r="P26" s="2594"/>
      <c r="Q26" s="288"/>
    </row>
    <row r="27" spans="1:17">
      <c r="A27" s="287"/>
      <c r="B27" s="2588"/>
      <c r="C27" s="2589"/>
      <c r="D27" s="2590"/>
      <c r="E27" s="2592"/>
      <c r="F27" s="2592"/>
      <c r="G27" s="2592"/>
      <c r="H27" s="2592"/>
      <c r="I27" s="2592"/>
      <c r="J27" s="2592"/>
      <c r="K27" s="2592"/>
      <c r="L27" s="2592"/>
      <c r="M27" s="2592"/>
      <c r="N27" s="2592"/>
      <c r="O27" s="2593"/>
      <c r="P27" s="2594"/>
      <c r="Q27" s="288"/>
    </row>
    <row r="28" spans="1:17">
      <c r="A28" s="287"/>
      <c r="B28" s="2588" t="s">
        <v>1033</v>
      </c>
      <c r="C28" s="2589"/>
      <c r="D28" s="2590"/>
      <c r="E28" s="2591" t="s">
        <v>1034</v>
      </c>
      <c r="F28" s="2591"/>
      <c r="G28" s="2591"/>
      <c r="H28" s="2591"/>
      <c r="I28" s="2591"/>
      <c r="J28" s="2592"/>
      <c r="K28" s="2592" t="s">
        <v>1035</v>
      </c>
      <c r="L28" s="2592"/>
      <c r="M28" s="2592"/>
      <c r="N28" s="2592"/>
      <c r="O28" s="2593"/>
      <c r="P28" s="2594"/>
      <c r="Q28" s="288"/>
    </row>
    <row r="29" spans="1:17">
      <c r="A29" s="287"/>
      <c r="B29" s="2588"/>
      <c r="C29" s="2589"/>
      <c r="D29" s="2590"/>
      <c r="E29" s="2592"/>
      <c r="F29" s="2592"/>
      <c r="G29" s="2592"/>
      <c r="H29" s="2592"/>
      <c r="I29" s="2592"/>
      <c r="J29" s="2592"/>
      <c r="K29" s="2592"/>
      <c r="L29" s="2592"/>
      <c r="M29" s="2592"/>
      <c r="N29" s="2592"/>
      <c r="O29" s="2593"/>
      <c r="P29" s="2594"/>
      <c r="Q29" s="288"/>
    </row>
    <row r="30" spans="1:17">
      <c r="A30" s="287"/>
      <c r="B30" s="2588" t="s">
        <v>1036</v>
      </c>
      <c r="C30" s="2589"/>
      <c r="D30" s="2590"/>
      <c r="E30" s="2592" t="s">
        <v>1037</v>
      </c>
      <c r="F30" s="2592"/>
      <c r="G30" s="2592"/>
      <c r="H30" s="2592"/>
      <c r="I30" s="2592"/>
      <c r="J30" s="2592"/>
      <c r="K30" s="2592" t="s">
        <v>1038</v>
      </c>
      <c r="L30" s="2592"/>
      <c r="M30" s="2592"/>
      <c r="N30" s="2592"/>
      <c r="O30" s="2593"/>
      <c r="P30" s="2594"/>
      <c r="Q30" s="288"/>
    </row>
    <row r="31" spans="1:17">
      <c r="A31" s="287"/>
      <c r="B31" s="2588"/>
      <c r="C31" s="2589"/>
      <c r="D31" s="2590"/>
      <c r="E31" s="2592"/>
      <c r="F31" s="2592"/>
      <c r="G31" s="2592"/>
      <c r="H31" s="2592"/>
      <c r="I31" s="2592"/>
      <c r="J31" s="2592"/>
      <c r="K31" s="2592"/>
      <c r="L31" s="2592"/>
      <c r="M31" s="2592"/>
      <c r="N31" s="2592"/>
      <c r="O31" s="2593"/>
      <c r="P31" s="2594"/>
      <c r="Q31" s="288"/>
    </row>
    <row r="32" spans="1:17">
      <c r="A32" s="287"/>
      <c r="B32" s="2588" t="s">
        <v>1039</v>
      </c>
      <c r="C32" s="2589"/>
      <c r="D32" s="2590"/>
      <c r="E32" s="2592" t="s">
        <v>1040</v>
      </c>
      <c r="F32" s="2592"/>
      <c r="G32" s="2592"/>
      <c r="H32" s="2592"/>
      <c r="I32" s="2592"/>
      <c r="J32" s="2592"/>
      <c r="K32" s="2592" t="s">
        <v>1041</v>
      </c>
      <c r="L32" s="2592"/>
      <c r="M32" s="2592"/>
      <c r="N32" s="2592"/>
      <c r="O32" s="2593"/>
      <c r="P32" s="2594"/>
      <c r="Q32" s="288"/>
    </row>
    <row r="33" spans="1:17">
      <c r="A33" s="287"/>
      <c r="B33" s="2588"/>
      <c r="C33" s="2589"/>
      <c r="D33" s="2590"/>
      <c r="E33" s="2592"/>
      <c r="F33" s="2592"/>
      <c r="G33" s="2592"/>
      <c r="H33" s="2592"/>
      <c r="I33" s="2592"/>
      <c r="J33" s="2592"/>
      <c r="K33" s="2592"/>
      <c r="L33" s="2592"/>
      <c r="M33" s="2592"/>
      <c r="N33" s="2592"/>
      <c r="O33" s="2593"/>
      <c r="P33" s="2594"/>
      <c r="Q33" s="288"/>
    </row>
    <row r="34" spans="1:17">
      <c r="A34" s="287"/>
      <c r="B34" s="2588" t="s">
        <v>1042</v>
      </c>
      <c r="C34" s="2589"/>
      <c r="D34" s="2590"/>
      <c r="E34" s="2592" t="s">
        <v>1043</v>
      </c>
      <c r="F34" s="2592"/>
      <c r="G34" s="2592"/>
      <c r="H34" s="2592"/>
      <c r="I34" s="2592"/>
      <c r="J34" s="2592"/>
      <c r="K34" s="2591" t="s">
        <v>1044</v>
      </c>
      <c r="L34" s="2591"/>
      <c r="M34" s="2592"/>
      <c r="N34" s="2592"/>
      <c r="O34" s="2593"/>
      <c r="P34" s="2594"/>
      <c r="Q34" s="288"/>
    </row>
    <row r="35" spans="1:17">
      <c r="A35" s="287"/>
      <c r="B35" s="2588"/>
      <c r="C35" s="2589"/>
      <c r="D35" s="2590"/>
      <c r="E35" s="2592"/>
      <c r="F35" s="2592"/>
      <c r="G35" s="2592"/>
      <c r="H35" s="2592"/>
      <c r="I35" s="2592"/>
      <c r="J35" s="2592"/>
      <c r="K35" s="2592"/>
      <c r="L35" s="2592"/>
      <c r="M35" s="2592"/>
      <c r="N35" s="2592"/>
      <c r="O35" s="2593"/>
      <c r="P35" s="2594"/>
      <c r="Q35" s="288"/>
    </row>
    <row r="36" spans="1:17">
      <c r="A36" s="287"/>
      <c r="B36" s="2588" t="s">
        <v>1045</v>
      </c>
      <c r="C36" s="2589"/>
      <c r="D36" s="2590"/>
      <c r="E36" s="2591" t="s">
        <v>1046</v>
      </c>
      <c r="F36" s="2591"/>
      <c r="G36" s="2591"/>
      <c r="H36" s="2591"/>
      <c r="I36" s="2591"/>
      <c r="J36" s="2592"/>
      <c r="K36" s="2591" t="s">
        <v>1047</v>
      </c>
      <c r="L36" s="2591"/>
      <c r="M36" s="2592"/>
      <c r="N36" s="2592"/>
      <c r="O36" s="2593"/>
      <c r="P36" s="2594"/>
      <c r="Q36" s="288"/>
    </row>
    <row r="37" spans="1:17">
      <c r="A37" s="287"/>
      <c r="B37" s="2588"/>
      <c r="C37" s="2589"/>
      <c r="D37" s="2590"/>
      <c r="E37" s="2592"/>
      <c r="F37" s="2592"/>
      <c r="G37" s="2592"/>
      <c r="H37" s="2592"/>
      <c r="I37" s="2592"/>
      <c r="J37" s="2592"/>
      <c r="K37" s="2592"/>
      <c r="L37" s="2592"/>
      <c r="M37" s="2592"/>
      <c r="N37" s="2592"/>
      <c r="O37" s="2593"/>
      <c r="P37" s="2594"/>
      <c r="Q37" s="288"/>
    </row>
    <row r="38" spans="1:17">
      <c r="A38" s="287"/>
      <c r="B38" s="2588" t="s">
        <v>1048</v>
      </c>
      <c r="C38" s="2589"/>
      <c r="D38" s="2590"/>
      <c r="E38" s="2591" t="s">
        <v>1049</v>
      </c>
      <c r="F38" s="2591"/>
      <c r="G38" s="2591"/>
      <c r="H38" s="2591"/>
      <c r="I38" s="2591"/>
      <c r="J38" s="2592"/>
      <c r="K38" s="2592" t="s">
        <v>1050</v>
      </c>
      <c r="L38" s="2592"/>
      <c r="M38" s="2592"/>
      <c r="N38" s="2592"/>
      <c r="O38" s="2593"/>
      <c r="P38" s="2594"/>
      <c r="Q38" s="288"/>
    </row>
    <row r="39" spans="1:17">
      <c r="A39" s="287"/>
      <c r="B39" s="2588"/>
      <c r="C39" s="2589"/>
      <c r="D39" s="2590"/>
      <c r="E39" s="2592"/>
      <c r="F39" s="2592"/>
      <c r="G39" s="2592"/>
      <c r="H39" s="2592"/>
      <c r="I39" s="2592"/>
      <c r="J39" s="2592"/>
      <c r="K39" s="2592"/>
      <c r="L39" s="2592"/>
      <c r="M39" s="2592"/>
      <c r="N39" s="2592"/>
      <c r="O39" s="2593"/>
      <c r="P39" s="2594"/>
      <c r="Q39" s="288"/>
    </row>
    <row r="40" spans="1:17">
      <c r="A40" s="287"/>
      <c r="B40" s="2588" t="s">
        <v>5566</v>
      </c>
      <c r="C40" s="2589"/>
      <c r="D40" s="2590"/>
      <c r="E40" s="2591" t="s">
        <v>5567</v>
      </c>
      <c r="F40" s="2591"/>
      <c r="G40" s="2591"/>
      <c r="H40" s="2591"/>
      <c r="I40" s="2591"/>
      <c r="J40" s="2592"/>
      <c r="K40" s="2591" t="s">
        <v>5568</v>
      </c>
      <c r="L40" s="2591"/>
      <c r="M40" s="2591"/>
      <c r="N40" s="2591"/>
      <c r="O40" s="2595"/>
      <c r="P40" s="2596"/>
      <c r="Q40" s="288"/>
    </row>
    <row r="41" spans="1:17">
      <c r="A41" s="287"/>
      <c r="B41" s="2588"/>
      <c r="C41" s="2589"/>
      <c r="D41" s="2590"/>
      <c r="E41" s="2592"/>
      <c r="F41" s="2592"/>
      <c r="G41" s="2592"/>
      <c r="H41" s="2592"/>
      <c r="I41" s="2592"/>
      <c r="J41" s="2592"/>
      <c r="K41" s="2591"/>
      <c r="L41" s="2591"/>
      <c r="M41" s="2591"/>
      <c r="N41" s="2591"/>
      <c r="O41" s="2595"/>
      <c r="P41" s="2596"/>
      <c r="Q41" s="288"/>
    </row>
    <row r="42" spans="1:17">
      <c r="A42" s="287"/>
      <c r="B42" s="2574" t="s">
        <v>5658</v>
      </c>
      <c r="C42" s="2575"/>
      <c r="D42" s="2576"/>
      <c r="E42" s="2580" t="s">
        <v>5659</v>
      </c>
      <c r="F42" s="2580"/>
      <c r="G42" s="2580"/>
      <c r="H42" s="2580"/>
      <c r="I42" s="2580"/>
      <c r="J42" s="2581"/>
      <c r="K42" s="2580" t="s">
        <v>5660</v>
      </c>
      <c r="L42" s="2580"/>
      <c r="M42" s="2580"/>
      <c r="N42" s="2580"/>
      <c r="O42" s="2583"/>
      <c r="P42" s="2584"/>
      <c r="Q42" s="288"/>
    </row>
    <row r="43" spans="1:17" ht="16.5" thickBot="1">
      <c r="A43" s="287"/>
      <c r="B43" s="2577"/>
      <c r="C43" s="2578"/>
      <c r="D43" s="2579"/>
      <c r="E43" s="2582"/>
      <c r="F43" s="2582"/>
      <c r="G43" s="2582"/>
      <c r="H43" s="2582"/>
      <c r="I43" s="2582"/>
      <c r="J43" s="2582"/>
      <c r="K43" s="2585"/>
      <c r="L43" s="2585"/>
      <c r="M43" s="2585"/>
      <c r="N43" s="2585"/>
      <c r="O43" s="2586"/>
      <c r="P43" s="2587"/>
      <c r="Q43" s="288"/>
    </row>
    <row r="44" spans="1:17" ht="16.5" thickTop="1">
      <c r="A44" s="287"/>
      <c r="B44" s="291" t="s">
        <v>1051</v>
      </c>
      <c r="C44" s="291"/>
      <c r="Q44" s="288"/>
    </row>
    <row r="45" spans="1:17">
      <c r="A45" s="287"/>
      <c r="Q45" s="288"/>
    </row>
    <row r="46" spans="1:17">
      <c r="A46" s="287"/>
      <c r="Q46" s="288"/>
    </row>
    <row r="47" spans="1:17" ht="22">
      <c r="A47" s="287"/>
      <c r="B47" s="289" t="s">
        <v>5569</v>
      </c>
      <c r="C47" s="289"/>
      <c r="E47" s="290"/>
      <c r="F47" s="291"/>
      <c r="G47" s="291"/>
      <c r="H47" s="291"/>
      <c r="I47" s="291"/>
      <c r="Q47" s="288"/>
    </row>
    <row r="48" spans="1:17">
      <c r="A48" s="287"/>
      <c r="Q48" s="288"/>
    </row>
    <row r="49" spans="1:17">
      <c r="A49" s="287"/>
      <c r="B49" s="286" t="s">
        <v>5570</v>
      </c>
      <c r="Q49" s="288"/>
    </row>
    <row r="50" spans="1:17">
      <c r="A50" s="287"/>
      <c r="B50" s="286" t="s">
        <v>5571</v>
      </c>
      <c r="Q50" s="288"/>
    </row>
    <row r="51" spans="1:17">
      <c r="A51" s="287"/>
      <c r="Q51" s="288"/>
    </row>
    <row r="52" spans="1:17">
      <c r="A52" s="287"/>
      <c r="Q52" s="288"/>
    </row>
    <row r="53" spans="1:17">
      <c r="A53" s="287"/>
      <c r="B53" s="306" t="s">
        <v>1053</v>
      </c>
      <c r="Q53" s="288"/>
    </row>
    <row r="54" spans="1:17">
      <c r="A54" s="287"/>
      <c r="B54" s="306" t="s">
        <v>5572</v>
      </c>
      <c r="Q54" s="288"/>
    </row>
    <row r="55" spans="1:17">
      <c r="A55" s="287"/>
      <c r="B55" s="306" t="s">
        <v>5573</v>
      </c>
      <c r="Q55" s="288"/>
    </row>
    <row r="56" spans="1:17">
      <c r="A56" s="287"/>
      <c r="B56" s="306" t="s">
        <v>5574</v>
      </c>
      <c r="Q56" s="288"/>
    </row>
    <row r="57" spans="1:17">
      <c r="A57" s="287"/>
      <c r="Q57" s="288"/>
    </row>
    <row r="58" spans="1:17" ht="16.5" thickBot="1">
      <c r="A58" s="303"/>
      <c r="B58" s="304"/>
      <c r="C58" s="304"/>
      <c r="D58" s="304"/>
      <c r="E58" s="304"/>
      <c r="F58" s="304"/>
      <c r="G58" s="304"/>
      <c r="H58" s="304"/>
      <c r="I58" s="304"/>
      <c r="J58" s="304"/>
      <c r="K58" s="304"/>
      <c r="L58" s="304"/>
      <c r="M58" s="304"/>
      <c r="N58" s="304"/>
      <c r="O58" s="304"/>
      <c r="P58" s="304"/>
      <c r="Q58" s="305"/>
    </row>
    <row r="59" spans="1:17" ht="16.5" thickTop="1"/>
  </sheetData>
  <sheetProtection algorithmName="SHA-512" hashValue="rPrnb9ZIk55GEg1bogvk7nPuNxg/QWVIhvnyYMZlVMy0Swhyc8DfQT+ykdFLwS9mENe0Mkc9Mq2JaCaig1y9Qg==" saltValue="99x4UGZAzWCyCtQQkMGJOA==" spinCount="100000" sheet="1" objects="1" scenarios="1" selectLockedCells="1" selectUnlockedCells="1"/>
  <mergeCells count="35">
    <mergeCell ref="B24:D25"/>
    <mergeCell ref="E24:J25"/>
    <mergeCell ref="K24:P25"/>
    <mergeCell ref="B1:P2"/>
    <mergeCell ref="B6:D7"/>
    <mergeCell ref="E6:J7"/>
    <mergeCell ref="K6:P7"/>
    <mergeCell ref="B8:D19"/>
    <mergeCell ref="B26:D27"/>
    <mergeCell ref="E26:J27"/>
    <mergeCell ref="K26:P27"/>
    <mergeCell ref="B28:D29"/>
    <mergeCell ref="E28:J29"/>
    <mergeCell ref="K28:P29"/>
    <mergeCell ref="B30:D31"/>
    <mergeCell ref="E30:J31"/>
    <mergeCell ref="K30:P31"/>
    <mergeCell ref="B32:D33"/>
    <mergeCell ref="E32:J33"/>
    <mergeCell ref="K32:P33"/>
    <mergeCell ref="B34:D35"/>
    <mergeCell ref="E34:J35"/>
    <mergeCell ref="K34:P35"/>
    <mergeCell ref="B36:D37"/>
    <mergeCell ref="E36:J37"/>
    <mergeCell ref="K36:P37"/>
    <mergeCell ref="B42:D43"/>
    <mergeCell ref="E42:J43"/>
    <mergeCell ref="K42:P43"/>
    <mergeCell ref="B38:D39"/>
    <mergeCell ref="E38:J39"/>
    <mergeCell ref="K38:P39"/>
    <mergeCell ref="B40:D41"/>
    <mergeCell ref="E40:J41"/>
    <mergeCell ref="K40:P41"/>
  </mergeCells>
  <phoneticPr fontId="3"/>
  <pageMargins left="0.7" right="0.7" top="0.75" bottom="0.75" header="0.3" footer="0.3"/>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CC00FF"/>
    <pageSetUpPr fitToPage="1"/>
  </sheetPr>
  <dimension ref="A1:CB263"/>
  <sheetViews>
    <sheetView showGridLines="0" topLeftCell="A68" zoomScale="85" zoomScaleNormal="85" zoomScaleSheetLayoutView="75" workbookViewId="0">
      <selection activeCell="AL88" sqref="AL88:AT88"/>
    </sheetView>
  </sheetViews>
  <sheetFormatPr defaultColWidth="3.36328125" defaultRowHeight="18.649999999999999" customHeight="1"/>
  <cols>
    <col min="1" max="1" width="3.36328125" style="112"/>
    <col min="2" max="2" width="3.36328125" style="183"/>
    <col min="3" max="3" width="3.36328125" style="126"/>
    <col min="4" max="28" width="3.36328125" style="112"/>
    <col min="29" max="37" width="3.36328125" style="141"/>
    <col min="38" max="46" width="3.36328125" style="112"/>
    <col min="47" max="47" width="3.26953125" style="113" customWidth="1"/>
    <col min="48" max="55" width="6.6328125" style="114" hidden="1" customWidth="1"/>
    <col min="56" max="57" width="3.36328125" style="114" hidden="1" customWidth="1"/>
    <col min="58" max="58" width="3.36328125" style="115" hidden="1" customWidth="1"/>
    <col min="59" max="60" width="3.08984375" style="115" hidden="1" customWidth="1"/>
    <col min="61" max="63" width="3.36328125" style="115" hidden="1" customWidth="1"/>
    <col min="64" max="64" width="15.453125" style="115" hidden="1" customWidth="1"/>
    <col min="65" max="65" width="18.6328125" style="115" hidden="1" customWidth="1"/>
    <col min="66" max="66" width="14.6328125" style="115" hidden="1" customWidth="1"/>
    <col min="67" max="67" width="11.6328125" style="115" hidden="1" customWidth="1"/>
    <col min="68" max="68" width="8.6328125" style="115" hidden="1" customWidth="1"/>
    <col min="69" max="69" width="3.7265625" style="115" hidden="1" customWidth="1"/>
    <col min="70" max="70" width="8.6328125" style="115" hidden="1" customWidth="1"/>
    <col min="71" max="71" width="3.36328125" style="223" hidden="1" customWidth="1"/>
    <col min="72" max="74" width="3.36328125" style="115" customWidth="1"/>
    <col min="75" max="80" width="3.36328125" style="116" customWidth="1"/>
    <col min="81" max="16384" width="3.36328125" style="117"/>
  </cols>
  <sheetData>
    <row r="1" spans="1:71" ht="18.649999999999999" customHeight="1" thickBot="1">
      <c r="A1" s="113"/>
      <c r="B1" s="179"/>
      <c r="C1" s="112"/>
      <c r="AC1" s="112"/>
      <c r="AD1" s="112"/>
      <c r="AE1" s="112"/>
      <c r="AF1" s="112"/>
      <c r="AG1" s="112"/>
      <c r="AH1" s="112"/>
      <c r="AI1" s="112"/>
      <c r="AJ1" s="112"/>
      <c r="AK1" s="112"/>
      <c r="AZ1" s="115" t="s">
        <v>324</v>
      </c>
      <c r="BA1" s="114" t="s">
        <v>1950</v>
      </c>
      <c r="BC1" s="115"/>
      <c r="BG1" s="115" t="s">
        <v>786</v>
      </c>
      <c r="BL1" s="115" t="s">
        <v>787</v>
      </c>
      <c r="BM1" s="114" t="s">
        <v>1099</v>
      </c>
      <c r="BN1" s="115" t="s">
        <v>1100</v>
      </c>
      <c r="BO1" s="115" t="s">
        <v>1183</v>
      </c>
      <c r="BP1" s="115" t="s">
        <v>1951</v>
      </c>
      <c r="BR1" s="115" t="s">
        <v>3278</v>
      </c>
    </row>
    <row r="2" spans="1:71" ht="18.649999999999999" customHeight="1" thickTop="1" thickBot="1">
      <c r="A2" s="113"/>
      <c r="B2" s="180"/>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9"/>
      <c r="AU2" s="120"/>
      <c r="AV2" s="114" t="b">
        <f>記入シート2!AV43</f>
        <v>0</v>
      </c>
      <c r="AW2" s="114" t="s">
        <v>2025</v>
      </c>
      <c r="AZ2" s="115" t="s">
        <v>325</v>
      </c>
      <c r="BA2" s="114" t="s">
        <v>1933</v>
      </c>
      <c r="BG2" s="115" t="s">
        <v>788</v>
      </c>
      <c r="BH2" s="115" t="s">
        <v>788</v>
      </c>
      <c r="BL2" s="115" t="s">
        <v>777</v>
      </c>
      <c r="BM2" s="114" t="s">
        <v>1101</v>
      </c>
      <c r="BN2" s="115" t="s">
        <v>1105</v>
      </c>
      <c r="BO2" s="115" t="s">
        <v>1101</v>
      </c>
      <c r="BP2" s="115" t="s">
        <v>1457</v>
      </c>
      <c r="BQ2" s="115" t="s">
        <v>788</v>
      </c>
      <c r="BR2" s="115" t="str">
        <f>""</f>
        <v/>
      </c>
    </row>
    <row r="3" spans="1:71" ht="18.649999999999999" customHeight="1" thickTop="1">
      <c r="A3" s="121"/>
      <c r="B3" s="187"/>
      <c r="C3" s="1222" t="s">
        <v>5679</v>
      </c>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c r="AR3" s="1223"/>
      <c r="AS3" s="1223"/>
      <c r="AT3" s="1224"/>
      <c r="AU3" s="122"/>
      <c r="AV3" s="114" t="b">
        <f>記入シート2!AV65</f>
        <v>0</v>
      </c>
      <c r="AW3" s="114" t="s">
        <v>2262</v>
      </c>
      <c r="AZ3" s="115" t="s">
        <v>331</v>
      </c>
      <c r="BA3" s="114" t="s">
        <v>1927</v>
      </c>
      <c r="BG3" s="115" t="s">
        <v>789</v>
      </c>
      <c r="BH3" s="115" t="s">
        <v>790</v>
      </c>
      <c r="BL3" s="115" t="s">
        <v>1052</v>
      </c>
      <c r="BM3" s="114" t="s">
        <v>1102</v>
      </c>
      <c r="BN3" s="115" t="s">
        <v>1106</v>
      </c>
      <c r="BO3" s="115" t="s">
        <v>1184</v>
      </c>
      <c r="BP3" s="115" t="s">
        <v>1410</v>
      </c>
      <c r="BQ3" s="115" t="s">
        <v>789</v>
      </c>
      <c r="BR3" s="115" t="s">
        <v>3279</v>
      </c>
    </row>
    <row r="4" spans="1:71" ht="18.75" customHeight="1" thickBot="1">
      <c r="A4" s="121"/>
      <c r="B4" s="187">
        <f>SUM(B13:B138)</f>
        <v>6</v>
      </c>
      <c r="C4" s="1225"/>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c r="AK4" s="1226"/>
      <c r="AL4" s="1226"/>
      <c r="AM4" s="1226"/>
      <c r="AN4" s="1226"/>
      <c r="AO4" s="1226"/>
      <c r="AP4" s="1226"/>
      <c r="AQ4" s="1226"/>
      <c r="AR4" s="1226"/>
      <c r="AS4" s="1226"/>
      <c r="AT4" s="1227"/>
      <c r="AU4" s="122"/>
      <c r="AV4" s="114" t="b">
        <f>記入シート2!AV67</f>
        <v>0</v>
      </c>
      <c r="AW4" s="114" t="s">
        <v>2263</v>
      </c>
      <c r="AZ4" s="115" t="s">
        <v>337</v>
      </c>
      <c r="BA4" s="114" t="s">
        <v>1929</v>
      </c>
      <c r="BG4" s="115" t="s">
        <v>791</v>
      </c>
      <c r="BH4" s="115" t="s">
        <v>792</v>
      </c>
      <c r="BL4" s="115" t="s">
        <v>2033</v>
      </c>
      <c r="BM4" s="114" t="s">
        <v>1103</v>
      </c>
      <c r="BN4" s="115" t="s">
        <v>1107</v>
      </c>
      <c r="BO4" s="115" t="s">
        <v>1185</v>
      </c>
      <c r="BP4" s="115" t="s">
        <v>1411</v>
      </c>
      <c r="BQ4" s="115" t="s">
        <v>791</v>
      </c>
      <c r="BR4" s="115" t="s">
        <v>3280</v>
      </c>
    </row>
    <row r="5" spans="1:71" ht="42" customHeight="1" thickTop="1">
      <c r="A5" s="742"/>
      <c r="B5" s="187"/>
      <c r="C5" s="1236" t="s">
        <v>5630</v>
      </c>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c r="AT5" s="1236"/>
      <c r="AU5" s="122"/>
      <c r="AV5" s="114" t="b">
        <f>記入シート2!AV42</f>
        <v>0</v>
      </c>
      <c r="AW5" s="114" t="s">
        <v>3637</v>
      </c>
      <c r="AZ5" s="115" t="s">
        <v>345</v>
      </c>
      <c r="BA5" s="114" t="s">
        <v>1927</v>
      </c>
      <c r="BG5" s="115" t="s">
        <v>793</v>
      </c>
      <c r="BH5" s="115" t="s">
        <v>794</v>
      </c>
      <c r="BL5" s="115" t="s">
        <v>2034</v>
      </c>
      <c r="BM5" s="114" t="s">
        <v>1104</v>
      </c>
      <c r="BN5" s="115" t="s">
        <v>1108</v>
      </c>
      <c r="BO5" s="115" t="s">
        <v>1186</v>
      </c>
      <c r="BP5" s="115" t="s">
        <v>1412</v>
      </c>
      <c r="BQ5" s="115" t="s">
        <v>793</v>
      </c>
      <c r="BR5" s="115" t="s">
        <v>3281</v>
      </c>
    </row>
    <row r="6" spans="1:71" ht="42" customHeight="1">
      <c r="A6" s="742"/>
      <c r="B6" s="187"/>
      <c r="C6" s="1237"/>
      <c r="D6" s="1237"/>
      <c r="E6" s="1237"/>
      <c r="F6" s="1237"/>
      <c r="G6" s="1237"/>
      <c r="H6" s="1237"/>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c r="AG6" s="1237"/>
      <c r="AH6" s="1237"/>
      <c r="AI6" s="1237"/>
      <c r="AJ6" s="1237"/>
      <c r="AK6" s="1237"/>
      <c r="AL6" s="1237"/>
      <c r="AM6" s="1237"/>
      <c r="AN6" s="1237"/>
      <c r="AO6" s="1237"/>
      <c r="AP6" s="1237"/>
      <c r="AQ6" s="1237"/>
      <c r="AR6" s="1237"/>
      <c r="AS6" s="1237"/>
      <c r="AT6" s="1237"/>
      <c r="AU6" s="122"/>
      <c r="AV6" s="114" t="b">
        <f>記入シート2!AV78</f>
        <v>0</v>
      </c>
      <c r="AW6" s="114" t="s">
        <v>5477</v>
      </c>
      <c r="AZ6" s="115" t="s">
        <v>350</v>
      </c>
      <c r="BA6" s="114" t="s">
        <v>1926</v>
      </c>
      <c r="BG6" s="115" t="s">
        <v>795</v>
      </c>
      <c r="BH6" s="115" t="s">
        <v>796</v>
      </c>
      <c r="BL6" s="115" t="s">
        <v>2035</v>
      </c>
      <c r="BO6" s="115" t="s">
        <v>1187</v>
      </c>
      <c r="BP6" s="115" t="s">
        <v>1413</v>
      </c>
      <c r="BQ6" s="115" t="s">
        <v>795</v>
      </c>
      <c r="BR6" s="115" t="s">
        <v>3282</v>
      </c>
    </row>
    <row r="7" spans="1:71" ht="42" customHeight="1">
      <c r="A7" s="742"/>
      <c r="B7" s="187"/>
      <c r="C7" s="1237"/>
      <c r="D7" s="1237"/>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7"/>
      <c r="AL7" s="1237"/>
      <c r="AM7" s="1237"/>
      <c r="AN7" s="1237"/>
      <c r="AO7" s="1237"/>
      <c r="AP7" s="1237"/>
      <c r="AQ7" s="1237"/>
      <c r="AR7" s="1237"/>
      <c r="AS7" s="1237"/>
      <c r="AT7" s="1237"/>
      <c r="AU7" s="122"/>
      <c r="AZ7" s="115" t="s">
        <v>352</v>
      </c>
      <c r="BA7" s="114" t="s">
        <v>1930</v>
      </c>
      <c r="BG7" s="115" t="s">
        <v>797</v>
      </c>
      <c r="BH7" s="115" t="s">
        <v>798</v>
      </c>
      <c r="BL7" s="115" t="s">
        <v>2036</v>
      </c>
      <c r="BO7" s="115" t="s">
        <v>1188</v>
      </c>
      <c r="BP7" s="115" t="s">
        <v>1414</v>
      </c>
      <c r="BQ7" s="115" t="s">
        <v>797</v>
      </c>
      <c r="BR7" s="115" t="s">
        <v>3283</v>
      </c>
    </row>
    <row r="8" spans="1:71" ht="15">
      <c r="A8" s="742"/>
      <c r="B8" s="187"/>
      <c r="C8" s="1238" t="s">
        <v>4877</v>
      </c>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38"/>
      <c r="AG8" s="1238"/>
      <c r="AH8" s="1238"/>
      <c r="AI8" s="1238"/>
      <c r="AJ8" s="1238"/>
      <c r="AK8" s="1238"/>
      <c r="AL8" s="1238"/>
      <c r="AM8" s="1238"/>
      <c r="AN8" s="1238"/>
      <c r="AO8" s="1238"/>
      <c r="AP8" s="1238"/>
      <c r="AQ8" s="1238"/>
      <c r="AR8" s="1238"/>
      <c r="AS8" s="1238"/>
      <c r="AT8" s="1238"/>
      <c r="AU8" s="122"/>
      <c r="AV8" s="502" t="str">
        <f>IF(OR($C$3="",$C$3="選択してください。"),"NG","OK")</f>
        <v>OK</v>
      </c>
      <c r="AW8" s="502" t="s">
        <v>3634</v>
      </c>
      <c r="AZ8" s="115" t="s">
        <v>355</v>
      </c>
      <c r="BA8" s="114" t="s">
        <v>1930</v>
      </c>
      <c r="BG8" s="115" t="s">
        <v>799</v>
      </c>
      <c r="BL8" s="115" t="s">
        <v>2037</v>
      </c>
      <c r="BO8" s="115" t="s">
        <v>1189</v>
      </c>
      <c r="BP8" s="115" t="s">
        <v>1415</v>
      </c>
      <c r="BQ8" s="115" t="s">
        <v>799</v>
      </c>
      <c r="BR8" s="115" t="s">
        <v>3284</v>
      </c>
    </row>
    <row r="9" spans="1:71" ht="15">
      <c r="A9" s="742"/>
      <c r="B9" s="187"/>
      <c r="C9" s="1239" t="s">
        <v>4878</v>
      </c>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39"/>
      <c r="AO9" s="1239"/>
      <c r="AP9" s="1239"/>
      <c r="AQ9" s="1239"/>
      <c r="AR9" s="1239"/>
      <c r="AS9" s="1239"/>
      <c r="AT9" s="1239"/>
      <c r="AU9" s="122"/>
      <c r="AV9" s="741"/>
      <c r="AW9" s="502" t="s">
        <v>3636</v>
      </c>
      <c r="AZ9" s="115" t="s">
        <v>360</v>
      </c>
      <c r="BA9" s="114" t="s">
        <v>1930</v>
      </c>
      <c r="BG9" s="115" t="s">
        <v>800</v>
      </c>
      <c r="BL9" s="115" t="s">
        <v>2038</v>
      </c>
      <c r="BO9" s="115" t="s">
        <v>1190</v>
      </c>
      <c r="BP9" s="115" t="s">
        <v>1416</v>
      </c>
      <c r="BQ9" s="115" t="s">
        <v>800</v>
      </c>
      <c r="BR9" s="115" t="s">
        <v>3285</v>
      </c>
    </row>
    <row r="10" spans="1:71" ht="15.75" customHeight="1" thickBot="1">
      <c r="B10" s="187"/>
      <c r="C10" s="2627"/>
      <c r="D10" s="2627"/>
      <c r="E10" s="2627"/>
      <c r="F10" s="2627"/>
      <c r="G10" s="2627"/>
      <c r="H10" s="2627"/>
      <c r="I10" s="2627"/>
      <c r="J10" s="2627"/>
      <c r="K10" s="2627"/>
      <c r="L10" s="2627"/>
      <c r="M10" s="2627"/>
      <c r="N10" s="2627"/>
      <c r="O10" s="2627"/>
      <c r="P10" s="2627"/>
      <c r="Q10" s="2627"/>
      <c r="R10" s="2627"/>
      <c r="S10" s="2627"/>
      <c r="T10" s="2627"/>
      <c r="U10" s="2627"/>
      <c r="V10" s="2627"/>
      <c r="W10" s="2627"/>
      <c r="X10" s="2627"/>
      <c r="Y10" s="2627"/>
      <c r="Z10" s="2627"/>
      <c r="AA10" s="2627"/>
      <c r="AB10" s="2627"/>
      <c r="AC10" s="2627"/>
      <c r="AD10" s="2627"/>
      <c r="AE10" s="2627"/>
      <c r="AF10" s="2627"/>
      <c r="AG10" s="2627"/>
      <c r="AH10" s="2627"/>
      <c r="AI10" s="2627"/>
      <c r="AJ10" s="2627"/>
      <c r="AK10" s="2627"/>
      <c r="AL10" s="2627"/>
      <c r="AM10" s="2627"/>
      <c r="AN10" s="2627"/>
      <c r="AO10" s="2627"/>
      <c r="AP10" s="2627"/>
      <c r="AQ10" s="2627"/>
      <c r="AR10" s="2627"/>
      <c r="AS10" s="2627"/>
      <c r="AT10" s="2627"/>
      <c r="AU10" s="122"/>
      <c r="AV10" s="741"/>
      <c r="AW10" s="502" t="s">
        <v>3839</v>
      </c>
      <c r="AZ10" s="115" t="s">
        <v>363</v>
      </c>
      <c r="BA10" s="114" t="s">
        <v>1930</v>
      </c>
      <c r="BG10" s="115" t="s">
        <v>801</v>
      </c>
      <c r="BO10" s="115" t="s">
        <v>1191</v>
      </c>
      <c r="BP10" s="115" t="s">
        <v>1417</v>
      </c>
      <c r="BQ10" s="115" t="s">
        <v>801</v>
      </c>
      <c r="BR10" s="115" t="s">
        <v>3286</v>
      </c>
    </row>
    <row r="11" spans="1:71" ht="16.5" customHeight="1">
      <c r="B11" s="187"/>
      <c r="C11" s="1228" t="s">
        <v>2087</v>
      </c>
      <c r="D11" s="1229"/>
      <c r="E11" s="1229"/>
      <c r="F11" s="1229"/>
      <c r="G11" s="1229"/>
      <c r="H11" s="1230"/>
      <c r="I11" s="2630" t="s">
        <v>4879</v>
      </c>
      <c r="J11" s="2631"/>
      <c r="K11" s="2631"/>
      <c r="L11" s="2631"/>
      <c r="M11" s="2631"/>
      <c r="N11" s="2631"/>
      <c r="O11" s="2631"/>
      <c r="P11" s="2631"/>
      <c r="Q11" s="2631"/>
      <c r="R11" s="2631"/>
      <c r="S11" s="2631"/>
      <c r="T11" s="2631"/>
      <c r="U11" s="2631"/>
      <c r="V11" s="2631"/>
      <c r="W11" s="2631"/>
      <c r="X11" s="2631"/>
      <c r="Y11" s="2631"/>
      <c r="Z11" s="2631"/>
      <c r="AA11" s="2631"/>
      <c r="AB11" s="2631"/>
      <c r="AC11" s="2631"/>
      <c r="AD11" s="2631"/>
      <c r="AE11" s="2631"/>
      <c r="AF11" s="2631"/>
      <c r="AG11" s="2631"/>
      <c r="AH11" s="2631"/>
      <c r="AI11" s="2631"/>
      <c r="AJ11" s="2631"/>
      <c r="AK11" s="2631"/>
      <c r="AL11" s="2631"/>
      <c r="AM11" s="2631"/>
      <c r="AN11" s="2631"/>
      <c r="AO11" s="2631"/>
      <c r="AP11" s="2631"/>
      <c r="AQ11" s="2631"/>
      <c r="AR11" s="2631"/>
      <c r="AS11" s="2631"/>
      <c r="AT11" s="2632"/>
      <c r="AU11" s="122"/>
      <c r="AV11" s="741"/>
      <c r="AW11" s="502"/>
      <c r="AX11" s="502" t="s">
        <v>3841</v>
      </c>
      <c r="AZ11" s="115" t="s">
        <v>365</v>
      </c>
      <c r="BA11" s="114" t="s">
        <v>1928</v>
      </c>
      <c r="BF11" s="123"/>
      <c r="BG11" s="123" t="s">
        <v>802</v>
      </c>
      <c r="BH11" s="123"/>
      <c r="BI11" s="123"/>
      <c r="BJ11" s="123"/>
      <c r="BK11" s="123"/>
      <c r="BL11" s="123"/>
      <c r="BM11" s="123"/>
      <c r="BN11" s="123"/>
      <c r="BO11" s="115" t="s">
        <v>1192</v>
      </c>
      <c r="BP11" s="123" t="s">
        <v>1418</v>
      </c>
      <c r="BQ11" s="115" t="s">
        <v>802</v>
      </c>
      <c r="BR11" s="115" t="s">
        <v>3287</v>
      </c>
      <c r="BS11" s="224"/>
    </row>
    <row r="12" spans="1:71" ht="16.5" customHeight="1">
      <c r="A12" s="111"/>
      <c r="B12" s="187"/>
      <c r="C12" s="1200"/>
      <c r="D12" s="1201"/>
      <c r="E12" s="1201"/>
      <c r="F12" s="1201"/>
      <c r="G12" s="1201"/>
      <c r="H12" s="1202"/>
      <c r="I12" s="2633" t="s">
        <v>5755</v>
      </c>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2634"/>
      <c r="AU12" s="122"/>
      <c r="AV12" s="508">
        <v>1</v>
      </c>
      <c r="AW12" s="114" t="s">
        <v>2093</v>
      </c>
      <c r="AZ12" s="115" t="s">
        <v>369</v>
      </c>
      <c r="BA12" s="114" t="s">
        <v>1931</v>
      </c>
      <c r="BG12" s="115" t="s">
        <v>790</v>
      </c>
      <c r="BO12" s="123" t="s">
        <v>1193</v>
      </c>
      <c r="BP12" s="115" t="s">
        <v>1419</v>
      </c>
      <c r="BQ12" s="115" t="s">
        <v>790</v>
      </c>
      <c r="BR12" s="115" t="s">
        <v>3288</v>
      </c>
    </row>
    <row r="13" spans="1:71" ht="16.5" customHeight="1">
      <c r="A13" s="354"/>
      <c r="B13" s="187">
        <f>IF(OR(AV8="NG",AV12=0,AV13=0,AV18=FALSE,AV21=0),1,0)</f>
        <v>1</v>
      </c>
      <c r="C13" s="1200"/>
      <c r="D13" s="1201"/>
      <c r="E13" s="1201"/>
      <c r="F13" s="1201"/>
      <c r="G13" s="1201"/>
      <c r="H13" s="1202"/>
      <c r="I13" s="2635" t="s">
        <v>5754</v>
      </c>
      <c r="J13" s="2636"/>
      <c r="K13" s="2636"/>
      <c r="L13" s="2636"/>
      <c r="M13" s="2636"/>
      <c r="N13" s="2636"/>
      <c r="O13" s="2636"/>
      <c r="P13" s="2636"/>
      <c r="Q13" s="2636"/>
      <c r="R13" s="2636"/>
      <c r="S13" s="2636"/>
      <c r="T13" s="2636"/>
      <c r="U13" s="2636"/>
      <c r="V13" s="2636"/>
      <c r="W13" s="2636"/>
      <c r="X13" s="2636"/>
      <c r="Y13" s="2636"/>
      <c r="Z13" s="2636"/>
      <c r="AA13" s="2636"/>
      <c r="AB13" s="2636"/>
      <c r="AC13" s="2636"/>
      <c r="AD13" s="2636"/>
      <c r="AE13" s="2636"/>
      <c r="AF13" s="2636"/>
      <c r="AG13" s="2636"/>
      <c r="AH13" s="2636"/>
      <c r="AI13" s="2636"/>
      <c r="AJ13" s="2636"/>
      <c r="AK13" s="2636"/>
      <c r="AL13" s="2636"/>
      <c r="AM13" s="2636"/>
      <c r="AN13" s="2636"/>
      <c r="AO13" s="2636"/>
      <c r="AP13" s="2636"/>
      <c r="AQ13" s="2636"/>
      <c r="AR13" s="2636"/>
      <c r="AS13" s="2636"/>
      <c r="AT13" s="2637"/>
      <c r="AU13" s="122"/>
      <c r="AV13" s="508">
        <v>1</v>
      </c>
      <c r="AW13" s="114" t="s">
        <v>2088</v>
      </c>
      <c r="AZ13" s="115" t="s">
        <v>371</v>
      </c>
      <c r="BA13" s="114" t="s">
        <v>1931</v>
      </c>
      <c r="BF13" s="123"/>
      <c r="BG13" s="123" t="s">
        <v>803</v>
      </c>
      <c r="BH13" s="123"/>
      <c r="BI13" s="123"/>
      <c r="BJ13" s="123"/>
      <c r="BK13" s="123"/>
      <c r="BL13" s="123"/>
      <c r="BM13" s="123"/>
      <c r="BN13" s="123"/>
      <c r="BO13" s="115" t="s">
        <v>1194</v>
      </c>
      <c r="BP13" s="123" t="s">
        <v>1420</v>
      </c>
      <c r="BQ13" s="115" t="s">
        <v>803</v>
      </c>
      <c r="BR13" s="115" t="s">
        <v>3289</v>
      </c>
      <c r="BS13" s="224"/>
    </row>
    <row r="14" spans="1:71" ht="16" hidden="1">
      <c r="A14" s="354" t="s">
        <v>2260</v>
      </c>
      <c r="B14" s="187"/>
      <c r="C14" s="1200"/>
      <c r="D14" s="1201"/>
      <c r="E14" s="1201"/>
      <c r="F14" s="1201"/>
      <c r="G14" s="1201"/>
      <c r="H14" s="1202"/>
      <c r="I14" s="2628"/>
      <c r="J14" s="1208"/>
      <c r="K14" s="1208"/>
      <c r="L14" s="1208"/>
      <c r="M14" s="1208"/>
      <c r="N14" s="1208"/>
      <c r="O14" s="1208"/>
      <c r="P14" s="1208"/>
      <c r="Q14" s="1208"/>
      <c r="R14" s="1208"/>
      <c r="S14" s="1208"/>
      <c r="T14" s="1208"/>
      <c r="U14" s="1208"/>
      <c r="V14" s="1208"/>
      <c r="W14" s="1208"/>
      <c r="X14" s="1208"/>
      <c r="Y14" s="1208"/>
      <c r="Z14" s="1208"/>
      <c r="AA14" s="1208"/>
      <c r="AB14" s="1208"/>
      <c r="AC14" s="1208"/>
      <c r="AD14" s="1208"/>
      <c r="AE14" s="1208"/>
      <c r="AF14" s="1208"/>
      <c r="AG14" s="1208"/>
      <c r="AH14" s="1208"/>
      <c r="AI14" s="1208"/>
      <c r="AJ14" s="1208"/>
      <c r="AK14" s="1208"/>
      <c r="AL14" s="1208"/>
      <c r="AM14" s="1208"/>
      <c r="AN14" s="1208"/>
      <c r="AO14" s="1208"/>
      <c r="AP14" s="1208"/>
      <c r="AQ14" s="1208"/>
      <c r="AR14" s="1208"/>
      <c r="AS14" s="1208"/>
      <c r="AT14" s="2629"/>
      <c r="AU14" s="122"/>
      <c r="AZ14" s="115" t="s">
        <v>373</v>
      </c>
      <c r="BA14" s="114" t="s">
        <v>1931</v>
      </c>
      <c r="BG14" s="115" t="s">
        <v>1</v>
      </c>
      <c r="BK14" s="115" t="s">
        <v>2039</v>
      </c>
      <c r="BO14" s="123" t="s">
        <v>1195</v>
      </c>
      <c r="BP14" s="115" t="s">
        <v>1421</v>
      </c>
      <c r="BQ14" s="115" t="s">
        <v>1</v>
      </c>
      <c r="BR14" s="115" t="s">
        <v>3290</v>
      </c>
    </row>
    <row r="15" spans="1:71" ht="16" hidden="1">
      <c r="A15" s="354" t="s">
        <v>2260</v>
      </c>
      <c r="B15" s="187"/>
      <c r="C15" s="1200"/>
      <c r="D15" s="1201"/>
      <c r="E15" s="1201"/>
      <c r="F15" s="1201"/>
      <c r="G15" s="1201"/>
      <c r="H15" s="1202"/>
      <c r="I15" s="2633"/>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2634"/>
      <c r="AU15" s="122"/>
      <c r="AZ15" s="115" t="s">
        <v>374</v>
      </c>
      <c r="BA15" s="114" t="s">
        <v>1932</v>
      </c>
      <c r="BG15" s="115" t="s">
        <v>804</v>
      </c>
      <c r="BK15" s="511" t="s">
        <v>2040</v>
      </c>
      <c r="BL15" s="115" t="s">
        <v>1052</v>
      </c>
      <c r="BO15" s="115" t="s">
        <v>1196</v>
      </c>
      <c r="BP15" s="115" t="s">
        <v>1422</v>
      </c>
      <c r="BQ15" s="115" t="s">
        <v>804</v>
      </c>
      <c r="BR15" s="115" t="s">
        <v>3291</v>
      </c>
    </row>
    <row r="16" spans="1:71" ht="16">
      <c r="A16" s="111"/>
      <c r="B16" s="187"/>
      <c r="C16" s="1200"/>
      <c r="D16" s="1201"/>
      <c r="E16" s="1201"/>
      <c r="F16" s="1201"/>
      <c r="G16" s="1201"/>
      <c r="H16" s="1202"/>
      <c r="I16" s="2706" t="s">
        <v>2095</v>
      </c>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598"/>
      <c r="AU16" s="122"/>
      <c r="AZ16" s="115" t="s">
        <v>760</v>
      </c>
      <c r="BA16" s="114" t="s">
        <v>1931</v>
      </c>
      <c r="BG16" s="115" t="s">
        <v>805</v>
      </c>
      <c r="BK16" s="511" t="s">
        <v>791</v>
      </c>
      <c r="BL16" s="115" t="s">
        <v>2033</v>
      </c>
      <c r="BO16" s="115" t="s">
        <v>1197</v>
      </c>
      <c r="BP16" s="115" t="s">
        <v>1423</v>
      </c>
      <c r="BQ16" s="115" t="s">
        <v>805</v>
      </c>
      <c r="BR16" s="115" t="s">
        <v>3292</v>
      </c>
    </row>
    <row r="17" spans="1:70" ht="30" customHeight="1" thickBot="1">
      <c r="A17" s="111"/>
      <c r="B17" s="187"/>
      <c r="C17" s="1203"/>
      <c r="D17" s="1204"/>
      <c r="E17" s="1204"/>
      <c r="F17" s="1204"/>
      <c r="G17" s="1204"/>
      <c r="H17" s="1205"/>
      <c r="I17" s="635" t="s">
        <v>1181</v>
      </c>
      <c r="J17" s="125"/>
      <c r="K17" s="563"/>
      <c r="L17" s="563"/>
      <c r="M17" s="563"/>
      <c r="N17" s="563"/>
      <c r="O17" s="564"/>
      <c r="P17" s="565"/>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8"/>
      <c r="AU17" s="122"/>
      <c r="AZ17" s="115" t="s">
        <v>965</v>
      </c>
      <c r="BA17" s="114" t="s">
        <v>1933</v>
      </c>
      <c r="BG17" s="115" t="s">
        <v>806</v>
      </c>
      <c r="BK17" s="511" t="s">
        <v>793</v>
      </c>
      <c r="BL17" s="115" t="s">
        <v>2034</v>
      </c>
      <c r="BO17" s="115" t="s">
        <v>1198</v>
      </c>
      <c r="BP17" s="115" t="s">
        <v>1424</v>
      </c>
      <c r="BQ17" s="115" t="s">
        <v>806</v>
      </c>
      <c r="BR17" s="115" t="s">
        <v>3293</v>
      </c>
    </row>
    <row r="18" spans="1:70" ht="18" customHeight="1">
      <c r="A18" s="111"/>
      <c r="B18" s="187"/>
      <c r="C18" s="1200" t="s">
        <v>2086</v>
      </c>
      <c r="D18" s="1201"/>
      <c r="E18" s="1201"/>
      <c r="F18" s="1201"/>
      <c r="G18" s="1201"/>
      <c r="H18" s="1202"/>
      <c r="I18" s="574"/>
      <c r="J18" s="558"/>
      <c r="K18" s="558"/>
      <c r="L18" s="1136" t="s">
        <v>2091</v>
      </c>
      <c r="M18" s="1136"/>
      <c r="N18" s="1136"/>
      <c r="O18" s="1136"/>
      <c r="P18" s="566"/>
      <c r="Q18" s="566"/>
      <c r="R18" s="566"/>
      <c r="S18" s="1206" t="s">
        <v>2092</v>
      </c>
      <c r="T18" s="1206"/>
      <c r="U18" s="1206"/>
      <c r="V18" s="1206"/>
      <c r="W18" s="566"/>
      <c r="X18" s="566"/>
      <c r="Y18" s="566"/>
      <c r="Z18" s="566"/>
      <c r="AA18" s="575"/>
      <c r="AB18" s="576"/>
      <c r="AC18" s="566"/>
      <c r="AD18" s="566"/>
      <c r="AE18" s="1208" t="s">
        <v>2089</v>
      </c>
      <c r="AF18" s="1208"/>
      <c r="AG18" s="1208"/>
      <c r="AH18" s="1208"/>
      <c r="AI18" s="566"/>
      <c r="AJ18" s="566"/>
      <c r="AK18" s="566"/>
      <c r="AL18" s="1208" t="s">
        <v>2090</v>
      </c>
      <c r="AM18" s="1208"/>
      <c r="AN18" s="1208"/>
      <c r="AO18" s="1208"/>
      <c r="AP18" s="566"/>
      <c r="AQ18" s="566"/>
      <c r="AR18" s="566"/>
      <c r="AS18" s="566"/>
      <c r="AT18" s="567"/>
      <c r="AU18" s="122"/>
      <c r="AV18" s="114" t="b">
        <v>0</v>
      </c>
      <c r="AW18" s="114" t="s">
        <v>2094</v>
      </c>
      <c r="AZ18" s="114" t="s">
        <v>375</v>
      </c>
      <c r="BA18" s="114" t="s">
        <v>1933</v>
      </c>
      <c r="BG18" s="115" t="s">
        <v>807</v>
      </c>
      <c r="BK18" s="511" t="s">
        <v>795</v>
      </c>
      <c r="BL18" s="115" t="s">
        <v>2035</v>
      </c>
      <c r="BO18" s="115" t="s">
        <v>1199</v>
      </c>
      <c r="BP18" s="115" t="s">
        <v>1425</v>
      </c>
      <c r="BQ18" s="115" t="s">
        <v>807</v>
      </c>
      <c r="BR18" s="115" t="s">
        <v>3294</v>
      </c>
    </row>
    <row r="19" spans="1:70" ht="18" customHeight="1" thickBot="1">
      <c r="A19" s="111"/>
      <c r="B19" s="187"/>
      <c r="C19" s="1203"/>
      <c r="D19" s="1204"/>
      <c r="E19" s="1204"/>
      <c r="F19" s="1204"/>
      <c r="G19" s="1204"/>
      <c r="H19" s="1205"/>
      <c r="I19" s="568"/>
      <c r="J19" s="559"/>
      <c r="K19" s="559"/>
      <c r="L19" s="1137"/>
      <c r="M19" s="1137"/>
      <c r="N19" s="1137"/>
      <c r="O19" s="1137"/>
      <c r="P19" s="569"/>
      <c r="Q19" s="570"/>
      <c r="R19" s="570"/>
      <c r="S19" s="1207"/>
      <c r="T19" s="1207"/>
      <c r="U19" s="1207"/>
      <c r="V19" s="1207"/>
      <c r="W19" s="570"/>
      <c r="X19" s="570"/>
      <c r="Y19" s="570"/>
      <c r="Z19" s="570"/>
      <c r="AA19" s="571"/>
      <c r="AB19" s="573"/>
      <c r="AC19" s="570"/>
      <c r="AD19" s="570"/>
      <c r="AE19" s="1209"/>
      <c r="AF19" s="1209"/>
      <c r="AG19" s="1209"/>
      <c r="AH19" s="1209"/>
      <c r="AI19" s="570"/>
      <c r="AJ19" s="570"/>
      <c r="AK19" s="570"/>
      <c r="AL19" s="1209"/>
      <c r="AM19" s="1209"/>
      <c r="AN19" s="1209"/>
      <c r="AO19" s="1209"/>
      <c r="AP19" s="570"/>
      <c r="AQ19" s="570"/>
      <c r="AR19" s="570"/>
      <c r="AS19" s="570"/>
      <c r="AT19" s="572"/>
      <c r="AU19" s="122"/>
      <c r="BG19" s="115" t="s">
        <v>808</v>
      </c>
      <c r="BK19" s="511" t="s">
        <v>797</v>
      </c>
      <c r="BL19" s="115" t="s">
        <v>2041</v>
      </c>
      <c r="BO19" s="115" t="s">
        <v>1200</v>
      </c>
      <c r="BP19" s="115" t="s">
        <v>1426</v>
      </c>
      <c r="BQ19" s="115" t="s">
        <v>808</v>
      </c>
      <c r="BR19" s="115" t="s">
        <v>3295</v>
      </c>
    </row>
    <row r="20" spans="1:70" ht="18.649999999999999" customHeight="1">
      <c r="A20" s="111"/>
      <c r="B20" s="181"/>
      <c r="C20" s="1210" t="s">
        <v>1072</v>
      </c>
      <c r="D20" s="1211"/>
      <c r="E20" s="1211"/>
      <c r="F20" s="1211"/>
      <c r="G20" s="1211"/>
      <c r="H20" s="1212"/>
      <c r="I20" s="1213" t="s">
        <v>1074</v>
      </c>
      <c r="J20" s="1214"/>
      <c r="K20" s="1214"/>
      <c r="L20" s="1214"/>
      <c r="M20" s="1214"/>
      <c r="N20" s="1214"/>
      <c r="O20" s="1214"/>
      <c r="P20" s="1214"/>
      <c r="Q20" s="1214"/>
      <c r="R20" s="1214"/>
      <c r="S20" s="1214"/>
      <c r="T20" s="1214"/>
      <c r="U20" s="1214"/>
      <c r="V20" s="1214"/>
      <c r="W20" s="1214"/>
      <c r="X20" s="1214"/>
      <c r="Y20" s="1214"/>
      <c r="Z20" s="1214"/>
      <c r="AA20" s="1214"/>
      <c r="AB20" s="1214"/>
      <c r="AC20" s="1214"/>
      <c r="AD20" s="1214"/>
      <c r="AE20" s="1214"/>
      <c r="AF20" s="1214"/>
      <c r="AG20" s="1214"/>
      <c r="AH20" s="1214"/>
      <c r="AI20" s="1214"/>
      <c r="AJ20" s="1214"/>
      <c r="AK20" s="1214"/>
      <c r="AL20" s="1214"/>
      <c r="AM20" s="1214"/>
      <c r="AN20" s="555"/>
      <c r="AO20" s="1219" t="s">
        <v>1096</v>
      </c>
      <c r="AP20" s="1219"/>
      <c r="AQ20" s="1219"/>
      <c r="AR20" s="1250" t="s">
        <v>1176</v>
      </c>
      <c r="AS20" s="1250"/>
      <c r="AT20" s="1251"/>
      <c r="AU20" s="122"/>
      <c r="BG20" s="115" t="s">
        <v>809</v>
      </c>
      <c r="BK20" s="511" t="s">
        <v>799</v>
      </c>
      <c r="BL20" s="115" t="s">
        <v>2041</v>
      </c>
      <c r="BO20" s="115" t="s">
        <v>1201</v>
      </c>
      <c r="BP20" s="115" t="s">
        <v>1427</v>
      </c>
      <c r="BQ20" s="115" t="s">
        <v>809</v>
      </c>
      <c r="BR20" s="115" t="s">
        <v>3296</v>
      </c>
    </row>
    <row r="21" spans="1:70" ht="18.649999999999999" customHeight="1">
      <c r="A21" s="111"/>
      <c r="B21" s="181"/>
      <c r="C21" s="1150"/>
      <c r="D21" s="1151"/>
      <c r="E21" s="1151"/>
      <c r="F21" s="1151"/>
      <c r="G21" s="1151"/>
      <c r="H21" s="1152"/>
      <c r="I21" s="1215"/>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556" t="s">
        <v>1175</v>
      </c>
      <c r="AO21" s="1220"/>
      <c r="AP21" s="1220"/>
      <c r="AQ21" s="1220"/>
      <c r="AR21" s="1252"/>
      <c r="AS21" s="1252"/>
      <c r="AT21" s="1253"/>
      <c r="AU21" s="122"/>
      <c r="AV21" s="508">
        <v>0</v>
      </c>
      <c r="AW21" s="114" t="s">
        <v>2097</v>
      </c>
      <c r="BG21" s="115" t="s">
        <v>810</v>
      </c>
      <c r="BK21" s="511" t="s">
        <v>800</v>
      </c>
      <c r="BL21" s="115" t="s">
        <v>2041</v>
      </c>
      <c r="BO21" s="115" t="s">
        <v>1202</v>
      </c>
      <c r="BP21" s="115" t="s">
        <v>1428</v>
      </c>
      <c r="BQ21" s="115" t="s">
        <v>810</v>
      </c>
      <c r="BR21" s="115" t="s">
        <v>3297</v>
      </c>
    </row>
    <row r="22" spans="1:70" ht="18.649999999999999" customHeight="1" thickBot="1">
      <c r="A22" s="111"/>
      <c r="B22" s="181"/>
      <c r="C22" s="1153"/>
      <c r="D22" s="1154"/>
      <c r="E22" s="1154"/>
      <c r="F22" s="1154"/>
      <c r="G22" s="1154"/>
      <c r="H22" s="1155"/>
      <c r="I22" s="1217"/>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218"/>
      <c r="AM22" s="1218"/>
      <c r="AN22" s="557"/>
      <c r="AO22" s="1221"/>
      <c r="AP22" s="1221"/>
      <c r="AQ22" s="1221"/>
      <c r="AR22" s="1254"/>
      <c r="AS22" s="1254"/>
      <c r="AT22" s="1255"/>
      <c r="AU22" s="122"/>
      <c r="BG22" s="115" t="s">
        <v>792</v>
      </c>
      <c r="BO22" s="115" t="s">
        <v>1203</v>
      </c>
      <c r="BP22" s="115" t="s">
        <v>1429</v>
      </c>
      <c r="BQ22" s="115" t="s">
        <v>792</v>
      </c>
      <c r="BR22" s="115" t="s">
        <v>3298</v>
      </c>
    </row>
    <row r="23" spans="1:70" ht="18.649999999999999" customHeight="1">
      <c r="A23" s="111"/>
      <c r="B23" s="181"/>
      <c r="C23" s="2704" t="str">
        <f>IF(AV18=FALSE,"↑規約をご確認のうえ、申し込みのチェックをお願いいたします。",IF(OR(AV12=0,AV13=0),"↑申込区分の選択をお願いいたします。",IF(AV21=0,"↑特定商取引法、消費者契約法に関するご申告をお願いいたします。",IF(OR(AV27="NG"),"↓フリガナには数字・記号を入れずカナのみご記入下さい。",IF(OR(B27=1,B48=1,B60=1,B104=1,B117=1),"↓未記入の箇所がございます。お手数ですが全て漏れなくご記入下さい。","")))))</f>
        <v>↑規約をご確認のうえ、申し込みのチェックをお願いいたします。</v>
      </c>
      <c r="D23" s="2704"/>
      <c r="E23" s="2704"/>
      <c r="F23" s="2704"/>
      <c r="G23" s="2704"/>
      <c r="H23" s="2704"/>
      <c r="I23" s="2704"/>
      <c r="J23" s="2704"/>
      <c r="K23" s="2704"/>
      <c r="L23" s="2704"/>
      <c r="M23" s="2704"/>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c r="AL23" s="2704"/>
      <c r="AM23" s="2704"/>
      <c r="AN23" s="2704"/>
      <c r="AO23" s="2704"/>
      <c r="AP23" s="2704"/>
      <c r="AQ23" s="2704"/>
      <c r="AR23" s="2704"/>
      <c r="AS23" s="2704"/>
      <c r="AT23" s="2704"/>
      <c r="AU23" s="122"/>
      <c r="BG23" s="115" t="s">
        <v>811</v>
      </c>
      <c r="BK23" s="115" t="s">
        <v>2042</v>
      </c>
      <c r="BO23" s="115" t="s">
        <v>1204</v>
      </c>
      <c r="BP23" s="115" t="s">
        <v>1430</v>
      </c>
      <c r="BQ23" s="115" t="s">
        <v>811</v>
      </c>
      <c r="BR23" s="115" t="s">
        <v>3299</v>
      </c>
    </row>
    <row r="24" spans="1:70" ht="18.649999999999999" customHeight="1">
      <c r="A24" s="111"/>
      <c r="B24" s="181"/>
      <c r="C24" s="2705"/>
      <c r="D24" s="2705"/>
      <c r="E24" s="2705"/>
      <c r="F24" s="2705"/>
      <c r="G24" s="2705"/>
      <c r="H24" s="2705"/>
      <c r="I24" s="2705"/>
      <c r="J24" s="2705"/>
      <c r="K24" s="2705"/>
      <c r="L24" s="2705"/>
      <c r="M24" s="2705"/>
      <c r="N24" s="2705"/>
      <c r="O24" s="2705"/>
      <c r="P24" s="2705"/>
      <c r="Q24" s="2705"/>
      <c r="R24" s="2705"/>
      <c r="S24" s="2705"/>
      <c r="T24" s="2705"/>
      <c r="U24" s="2705"/>
      <c r="V24" s="2705"/>
      <c r="W24" s="2705"/>
      <c r="X24" s="2705"/>
      <c r="Y24" s="2705"/>
      <c r="Z24" s="2705"/>
      <c r="AA24" s="2705"/>
      <c r="AB24" s="2705"/>
      <c r="AC24" s="2705"/>
      <c r="AD24" s="2705"/>
      <c r="AE24" s="2705"/>
      <c r="AF24" s="2705"/>
      <c r="AG24" s="2705"/>
      <c r="AH24" s="2705"/>
      <c r="AI24" s="2705"/>
      <c r="AJ24" s="2705"/>
      <c r="AK24" s="2705"/>
      <c r="AL24" s="2705"/>
      <c r="AM24" s="2705"/>
      <c r="AN24" s="2705"/>
      <c r="AO24" s="2705"/>
      <c r="AP24" s="2705"/>
      <c r="AQ24" s="2705"/>
      <c r="AR24" s="2705"/>
      <c r="AS24" s="2705"/>
      <c r="AT24" s="2705"/>
      <c r="AU24" s="122"/>
      <c r="BG24" s="115" t="s">
        <v>812</v>
      </c>
      <c r="BK24" s="511" t="s">
        <v>2040</v>
      </c>
      <c r="BL24" s="115" t="s">
        <v>2043</v>
      </c>
      <c r="BO24" s="115" t="s">
        <v>1205</v>
      </c>
      <c r="BP24" s="115" t="s">
        <v>1431</v>
      </c>
      <c r="BQ24" s="115" t="s">
        <v>812</v>
      </c>
      <c r="BR24" s="115" t="s">
        <v>3300</v>
      </c>
    </row>
    <row r="25" spans="1:70" ht="18.649999999999999" customHeight="1">
      <c r="A25" s="111"/>
      <c r="B25" s="181"/>
      <c r="M25" s="1136" t="s">
        <v>945</v>
      </c>
      <c r="N25" s="1136"/>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22"/>
      <c r="BG25" s="115" t="s">
        <v>813</v>
      </c>
      <c r="BK25" s="511" t="s">
        <v>791</v>
      </c>
      <c r="BL25" s="115" t="s">
        <v>2044</v>
      </c>
      <c r="BO25" s="115" t="s">
        <v>1206</v>
      </c>
      <c r="BP25" s="115" t="s">
        <v>1432</v>
      </c>
      <c r="BQ25" s="115" t="s">
        <v>813</v>
      </c>
      <c r="BR25" s="115" t="s">
        <v>3301</v>
      </c>
    </row>
    <row r="26" spans="1:70" ht="18.649999999999999" customHeight="1" thickBot="1">
      <c r="A26" s="111"/>
      <c r="B26" s="181"/>
      <c r="D26" s="111"/>
      <c r="E26" s="111"/>
      <c r="F26" s="111"/>
      <c r="G26" s="111"/>
      <c r="H26" s="111"/>
      <c r="I26" s="111"/>
      <c r="J26" s="111"/>
      <c r="K26" s="111"/>
      <c r="L26" s="111"/>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22"/>
      <c r="BK26" s="511" t="s">
        <v>793</v>
      </c>
      <c r="BL26" s="115" t="s">
        <v>2034</v>
      </c>
      <c r="BO26" s="115" t="s">
        <v>1207</v>
      </c>
      <c r="BP26" s="115" t="s">
        <v>1433</v>
      </c>
      <c r="BQ26" s="115" t="s">
        <v>3326</v>
      </c>
      <c r="BR26" s="115" t="s">
        <v>3302</v>
      </c>
    </row>
    <row r="27" spans="1:70" ht="18" customHeight="1">
      <c r="A27" s="111"/>
      <c r="B27" s="181">
        <f>IF(OR(AV21=0,I27="",I28="",O34="",W34="",AE34="",J35="",M35="",I36="",N36="",V36="",AD36="",I38="",O38="",T38="",K39="",N39="",Q39="",AA39="",AN39="",I40="",I43="",X43="",AV27="NG",AV31="NG",AV32="NG",AV36="00",AV43="NG"),1,0)</f>
        <v>1</v>
      </c>
      <c r="C27" s="1258" t="s">
        <v>390</v>
      </c>
      <c r="D27" s="1259"/>
      <c r="E27" s="1259"/>
      <c r="F27" s="1259"/>
      <c r="G27" s="1259"/>
      <c r="H27" s="1260"/>
      <c r="I27" s="2672"/>
      <c r="J27" s="2673"/>
      <c r="K27" s="2673"/>
      <c r="L27" s="2673"/>
      <c r="M27" s="2673"/>
      <c r="N27" s="2673"/>
      <c r="O27" s="2673"/>
      <c r="P27" s="2673"/>
      <c r="Q27" s="2673"/>
      <c r="R27" s="2673"/>
      <c r="S27" s="2673"/>
      <c r="T27" s="2673"/>
      <c r="U27" s="2673"/>
      <c r="V27" s="2673"/>
      <c r="W27" s="2673"/>
      <c r="X27" s="2673"/>
      <c r="Y27" s="2673"/>
      <c r="Z27" s="2673"/>
      <c r="AA27" s="2673"/>
      <c r="AB27" s="2673"/>
      <c r="AC27" s="2673"/>
      <c r="AD27" s="2673"/>
      <c r="AE27" s="2673"/>
      <c r="AF27" s="2673"/>
      <c r="AG27" s="2673"/>
      <c r="AH27" s="2673"/>
      <c r="AI27" s="2673"/>
      <c r="AJ27" s="2673"/>
      <c r="AK27" s="2673"/>
      <c r="AL27" s="2673"/>
      <c r="AM27" s="2673"/>
      <c r="AN27" s="2673"/>
      <c r="AO27" s="2673"/>
      <c r="AP27" s="2673"/>
      <c r="AQ27" s="2673"/>
      <c r="AR27" s="2673"/>
      <c r="AS27" s="2673"/>
      <c r="AT27" s="2674"/>
      <c r="AU27" s="122"/>
      <c r="AV27" s="114" t="str">
        <f>IF(ISERROR(FIND({"１","２","３","４","５","６","７","８","９","０","1","2","3","4","5","6","7","8","9","0","-","―","－","-","・","！","!","@","&amp;","."},I27)),"OK","NG")</f>
        <v>OK</v>
      </c>
      <c r="BK27" s="511" t="s">
        <v>795</v>
      </c>
      <c r="BL27" s="115" t="s">
        <v>2044</v>
      </c>
      <c r="BO27" s="115" t="s">
        <v>1208</v>
      </c>
      <c r="BP27" s="115" t="s">
        <v>1434</v>
      </c>
      <c r="BQ27" s="115" t="s">
        <v>3327</v>
      </c>
      <c r="BR27" s="115" t="s">
        <v>3303</v>
      </c>
    </row>
    <row r="28" spans="1:70" ht="18" customHeight="1">
      <c r="A28" s="111"/>
      <c r="B28" s="181"/>
      <c r="C28" s="1261" t="s">
        <v>3567</v>
      </c>
      <c r="D28" s="1262"/>
      <c r="E28" s="1262"/>
      <c r="F28" s="1262"/>
      <c r="G28" s="1262"/>
      <c r="H28" s="1263"/>
      <c r="I28" s="2687"/>
      <c r="J28" s="2688"/>
      <c r="K28" s="2688"/>
      <c r="L28" s="2688"/>
      <c r="M28" s="2688"/>
      <c r="N28" s="2688"/>
      <c r="O28" s="2688"/>
      <c r="P28" s="2688"/>
      <c r="Q28" s="2688"/>
      <c r="R28" s="2688"/>
      <c r="S28" s="2688"/>
      <c r="T28" s="2688"/>
      <c r="U28" s="2688"/>
      <c r="V28" s="2688"/>
      <c r="W28" s="2688"/>
      <c r="X28" s="2688"/>
      <c r="Y28" s="2688"/>
      <c r="Z28" s="2688"/>
      <c r="AA28" s="2688"/>
      <c r="AB28" s="2688"/>
      <c r="AC28" s="2688"/>
      <c r="AD28" s="2688"/>
      <c r="AE28" s="2688"/>
      <c r="AF28" s="2688"/>
      <c r="AG28" s="2688"/>
      <c r="AH28" s="2688"/>
      <c r="AI28" s="2688"/>
      <c r="AJ28" s="2688"/>
      <c r="AK28" s="2688"/>
      <c r="AL28" s="2688"/>
      <c r="AM28" s="2688"/>
      <c r="AN28" s="2688"/>
      <c r="AO28" s="2688"/>
      <c r="AP28" s="2688"/>
      <c r="AQ28" s="2688"/>
      <c r="AR28" s="2688"/>
      <c r="AS28" s="2688"/>
      <c r="AT28" s="2691"/>
      <c r="AU28" s="122"/>
      <c r="BK28" s="511" t="s">
        <v>797</v>
      </c>
      <c r="BL28" s="115" t="s">
        <v>2045</v>
      </c>
      <c r="BO28" s="115" t="s">
        <v>1209</v>
      </c>
      <c r="BP28" s="115" t="s">
        <v>1435</v>
      </c>
      <c r="BQ28" s="115" t="s">
        <v>3328</v>
      </c>
      <c r="BR28" s="115" t="s">
        <v>3304</v>
      </c>
    </row>
    <row r="29" spans="1:70" ht="18" customHeight="1">
      <c r="A29" s="111"/>
      <c r="B29" s="181"/>
      <c r="C29" s="1264"/>
      <c r="D29" s="1265"/>
      <c r="E29" s="1265"/>
      <c r="F29" s="1265"/>
      <c r="G29" s="1265"/>
      <c r="H29" s="1266"/>
      <c r="I29" s="2638"/>
      <c r="J29" s="2639"/>
      <c r="K29" s="2639"/>
      <c r="L29" s="2639"/>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2639"/>
      <c r="AT29" s="2640"/>
      <c r="AU29" s="122"/>
      <c r="BK29" s="511" t="s">
        <v>799</v>
      </c>
      <c r="BL29" s="115" t="s">
        <v>2046</v>
      </c>
      <c r="BO29" s="115" t="s">
        <v>1210</v>
      </c>
      <c r="BP29" s="115" t="s">
        <v>1436</v>
      </c>
      <c r="BQ29" s="115" t="s">
        <v>3329</v>
      </c>
      <c r="BR29" s="115" t="s">
        <v>3305</v>
      </c>
    </row>
    <row r="30" spans="1:70" ht="18" customHeight="1">
      <c r="A30" s="111"/>
      <c r="B30" s="181"/>
      <c r="C30" s="1267"/>
      <c r="D30" s="1268"/>
      <c r="E30" s="1268"/>
      <c r="F30" s="1268"/>
      <c r="G30" s="1268"/>
      <c r="H30" s="1269"/>
      <c r="I30" s="2641"/>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2642"/>
      <c r="AT30" s="2643"/>
      <c r="AU30" s="122"/>
      <c r="BK30" s="511" t="s">
        <v>800</v>
      </c>
      <c r="BL30" s="115" t="s">
        <v>2043</v>
      </c>
      <c r="BO30" s="115" t="s">
        <v>1211</v>
      </c>
      <c r="BP30" s="115" t="s">
        <v>1437</v>
      </c>
      <c r="BQ30" s="115" t="s">
        <v>3330</v>
      </c>
      <c r="BR30" s="115" t="s">
        <v>3306</v>
      </c>
    </row>
    <row r="31" spans="1:70" ht="18" customHeight="1">
      <c r="A31" s="354"/>
      <c r="B31" s="181"/>
      <c r="C31" s="1164" t="s">
        <v>3568</v>
      </c>
      <c r="D31" s="1240"/>
      <c r="E31" s="1240"/>
      <c r="F31" s="1240"/>
      <c r="G31" s="1240"/>
      <c r="H31" s="1241"/>
      <c r="I31" s="2724"/>
      <c r="J31" s="2725"/>
      <c r="K31" s="2725"/>
      <c r="L31" s="2725"/>
      <c r="M31" s="2725"/>
      <c r="N31" s="2725"/>
      <c r="O31" s="2725"/>
      <c r="P31" s="2725"/>
      <c r="Q31" s="2725"/>
      <c r="R31" s="2725"/>
      <c r="S31" s="2725"/>
      <c r="T31" s="2725"/>
      <c r="U31" s="2725"/>
      <c r="V31" s="2725"/>
      <c r="W31" s="2725"/>
      <c r="X31" s="2725"/>
      <c r="Y31" s="1279" t="s">
        <v>3569</v>
      </c>
      <c r="Z31" s="1240"/>
      <c r="AA31" s="1240"/>
      <c r="AB31" s="1240"/>
      <c r="AC31" s="1240"/>
      <c r="AD31" s="1241"/>
      <c r="AE31" s="2730"/>
      <c r="AF31" s="2731"/>
      <c r="AG31" s="2731"/>
      <c r="AH31" s="2731"/>
      <c r="AI31" s="2731"/>
      <c r="AJ31" s="2731"/>
      <c r="AK31" s="2731"/>
      <c r="AL31" s="2731"/>
      <c r="AM31" s="2731"/>
      <c r="AN31" s="2731"/>
      <c r="AO31" s="2731"/>
      <c r="AP31" s="2731"/>
      <c r="AQ31" s="2731"/>
      <c r="AR31" s="2731"/>
      <c r="AS31" s="2731"/>
      <c r="AT31" s="2732"/>
      <c r="AU31" s="122"/>
      <c r="AV31" s="114" t="str">
        <f>IF(AV2=FALSE,"OK",IF(AND(AV2=TRUE,I31&lt;&gt;""),"OK","NG"))</f>
        <v>OK</v>
      </c>
      <c r="BO31" s="115" t="s">
        <v>1212</v>
      </c>
      <c r="BP31" s="115" t="s">
        <v>1438</v>
      </c>
      <c r="BQ31" s="115" t="s">
        <v>3331</v>
      </c>
      <c r="BR31" s="115" t="s">
        <v>3307</v>
      </c>
    </row>
    <row r="32" spans="1:70" ht="18" customHeight="1">
      <c r="A32" s="354"/>
      <c r="B32" s="181"/>
      <c r="C32" s="1200"/>
      <c r="D32" s="1201"/>
      <c r="E32" s="1201"/>
      <c r="F32" s="1201"/>
      <c r="G32" s="1201"/>
      <c r="H32" s="1202"/>
      <c r="I32" s="2726"/>
      <c r="J32" s="2727"/>
      <c r="K32" s="2727"/>
      <c r="L32" s="2727"/>
      <c r="M32" s="2727"/>
      <c r="N32" s="2727"/>
      <c r="O32" s="2727"/>
      <c r="P32" s="2727"/>
      <c r="Q32" s="2727"/>
      <c r="R32" s="2727"/>
      <c r="S32" s="2727"/>
      <c r="T32" s="2727"/>
      <c r="U32" s="2727"/>
      <c r="V32" s="2727"/>
      <c r="W32" s="2727"/>
      <c r="X32" s="2727"/>
      <c r="Y32" s="1280"/>
      <c r="Z32" s="1201"/>
      <c r="AA32" s="1201"/>
      <c r="AB32" s="1201"/>
      <c r="AC32" s="1201"/>
      <c r="AD32" s="1202"/>
      <c r="AE32" s="2638"/>
      <c r="AF32" s="2639"/>
      <c r="AG32" s="2639"/>
      <c r="AH32" s="2639"/>
      <c r="AI32" s="2639"/>
      <c r="AJ32" s="2639"/>
      <c r="AK32" s="2639"/>
      <c r="AL32" s="2639"/>
      <c r="AM32" s="2639"/>
      <c r="AN32" s="2639"/>
      <c r="AO32" s="2639"/>
      <c r="AP32" s="2639"/>
      <c r="AQ32" s="2639"/>
      <c r="AR32" s="2639"/>
      <c r="AS32" s="2639"/>
      <c r="AT32" s="2640"/>
      <c r="AU32" s="122"/>
      <c r="AV32" s="114" t="str">
        <f>IF(AV3=FALSE,"OK",IF(AND(AV3=TRUE,AE31&lt;&gt;""),"OK","NG"))</f>
        <v>OK</v>
      </c>
      <c r="BO32" s="115" t="s">
        <v>1213</v>
      </c>
      <c r="BP32" s="115" t="s">
        <v>1439</v>
      </c>
      <c r="BQ32" s="115" t="s">
        <v>794</v>
      </c>
      <c r="BR32" s="115" t="s">
        <v>3308</v>
      </c>
    </row>
    <row r="33" spans="1:74" ht="18" customHeight="1">
      <c r="A33" s="354"/>
      <c r="B33" s="181"/>
      <c r="C33" s="1242"/>
      <c r="D33" s="1243"/>
      <c r="E33" s="1243"/>
      <c r="F33" s="1243"/>
      <c r="G33" s="1243"/>
      <c r="H33" s="1244"/>
      <c r="I33" s="2728"/>
      <c r="J33" s="2729"/>
      <c r="K33" s="2729"/>
      <c r="L33" s="2729"/>
      <c r="M33" s="2729"/>
      <c r="N33" s="2729"/>
      <c r="O33" s="2729"/>
      <c r="P33" s="2729"/>
      <c r="Q33" s="2729"/>
      <c r="R33" s="2729"/>
      <c r="S33" s="2729"/>
      <c r="T33" s="2729"/>
      <c r="U33" s="2729"/>
      <c r="V33" s="2729"/>
      <c r="W33" s="2729"/>
      <c r="X33" s="2729"/>
      <c r="Y33" s="1281"/>
      <c r="Z33" s="1243"/>
      <c r="AA33" s="1243"/>
      <c r="AB33" s="1243"/>
      <c r="AC33" s="1243"/>
      <c r="AD33" s="1244"/>
      <c r="AE33" s="2641"/>
      <c r="AF33" s="2642"/>
      <c r="AG33" s="2642"/>
      <c r="AH33" s="2642"/>
      <c r="AI33" s="2642"/>
      <c r="AJ33" s="2642"/>
      <c r="AK33" s="2642"/>
      <c r="AL33" s="2642"/>
      <c r="AM33" s="2642"/>
      <c r="AN33" s="2642"/>
      <c r="AO33" s="2642"/>
      <c r="AP33" s="2642"/>
      <c r="AQ33" s="2642"/>
      <c r="AR33" s="2642"/>
      <c r="AS33" s="2642"/>
      <c r="AT33" s="2643"/>
      <c r="AU33" s="122"/>
      <c r="BO33" s="115" t="s">
        <v>1214</v>
      </c>
      <c r="BP33" s="115" t="s">
        <v>1440</v>
      </c>
      <c r="BQ33" s="115" t="s">
        <v>3332</v>
      </c>
      <c r="BR33" s="115" t="s">
        <v>3309</v>
      </c>
    </row>
    <row r="34" spans="1:74" ht="18" customHeight="1">
      <c r="A34" s="111"/>
      <c r="B34" s="181"/>
      <c r="C34" s="1245" t="s">
        <v>2026</v>
      </c>
      <c r="D34" s="1246"/>
      <c r="E34" s="1246"/>
      <c r="F34" s="1246"/>
      <c r="G34" s="1246"/>
      <c r="H34" s="1247"/>
      <c r="I34" s="397"/>
      <c r="J34" s="1248" t="str">
        <f>VLOOKUP(I36,BO2:BP49,2,FALSE)</f>
        <v>（自動表示）</v>
      </c>
      <c r="K34" s="1248"/>
      <c r="L34" s="1248"/>
      <c r="M34" s="1249"/>
      <c r="N34" s="503"/>
      <c r="O34" s="1285"/>
      <c r="P34" s="1285"/>
      <c r="Q34" s="1285"/>
      <c r="R34" s="1285"/>
      <c r="S34" s="1285"/>
      <c r="T34" s="1285"/>
      <c r="U34" s="1286"/>
      <c r="V34" s="503"/>
      <c r="W34" s="1285"/>
      <c r="X34" s="1285"/>
      <c r="Y34" s="1285"/>
      <c r="Z34" s="1285"/>
      <c r="AA34" s="1285"/>
      <c r="AB34" s="1285"/>
      <c r="AC34" s="1286"/>
      <c r="AD34" s="503"/>
      <c r="AE34" s="1285"/>
      <c r="AF34" s="1285"/>
      <c r="AG34" s="1285"/>
      <c r="AH34" s="1285"/>
      <c r="AI34" s="1285"/>
      <c r="AJ34" s="1285"/>
      <c r="AK34" s="1286"/>
      <c r="AL34" s="503"/>
      <c r="AM34" s="1287"/>
      <c r="AN34" s="1287"/>
      <c r="AO34" s="1287"/>
      <c r="AP34" s="1287"/>
      <c r="AQ34" s="1287"/>
      <c r="AR34" s="1287"/>
      <c r="AS34" s="1287"/>
      <c r="AT34" s="1288"/>
      <c r="AU34" s="122"/>
      <c r="AV34" s="114" t="str">
        <f>IF(ISERROR(FIND({"１","２","３","４","５","６","７","８","９","０","1","2","3","4","5","6","7","8","9","0","-","―","－","-","・","！","!","@","&amp;","."},O34&amp;W34&amp;AE34&amp;AM34)),"OK","NG")</f>
        <v>OK</v>
      </c>
      <c r="BO34" s="115" t="s">
        <v>1215</v>
      </c>
      <c r="BP34" s="115" t="s">
        <v>1441</v>
      </c>
      <c r="BQ34" s="115" t="s">
        <v>3333</v>
      </c>
      <c r="BR34" s="115" t="s">
        <v>3310</v>
      </c>
    </row>
    <row r="35" spans="1:74" ht="18" customHeight="1">
      <c r="A35" s="111"/>
      <c r="B35" s="181"/>
      <c r="C35" s="1261" t="s">
        <v>946</v>
      </c>
      <c r="D35" s="1305"/>
      <c r="E35" s="1305"/>
      <c r="F35" s="1305"/>
      <c r="G35" s="1305"/>
      <c r="H35" s="1306"/>
      <c r="I35" s="504" t="s">
        <v>2027</v>
      </c>
      <c r="J35" s="1313"/>
      <c r="K35" s="1313"/>
      <c r="L35" s="505" t="s">
        <v>2028</v>
      </c>
      <c r="M35" s="1314"/>
      <c r="N35" s="1314"/>
      <c r="O35" s="505"/>
      <c r="P35" s="505"/>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7"/>
      <c r="AU35" s="122"/>
      <c r="BO35" s="115" t="s">
        <v>1216</v>
      </c>
      <c r="BP35" s="115" t="s">
        <v>1442</v>
      </c>
      <c r="BQ35" s="115" t="s">
        <v>3334</v>
      </c>
      <c r="BR35" s="115" t="s">
        <v>3311</v>
      </c>
    </row>
    <row r="36" spans="1:74" ht="18" customHeight="1">
      <c r="A36" s="111"/>
      <c r="B36" s="181"/>
      <c r="C36" s="1307"/>
      <c r="D36" s="1308"/>
      <c r="E36" s="1308"/>
      <c r="F36" s="1308"/>
      <c r="G36" s="1308"/>
      <c r="H36" s="1309"/>
      <c r="I36" s="1315" t="s">
        <v>777</v>
      </c>
      <c r="J36" s="1316"/>
      <c r="K36" s="1316"/>
      <c r="L36" s="1316"/>
      <c r="M36" s="1316"/>
      <c r="N36" s="1289"/>
      <c r="O36" s="1289"/>
      <c r="P36" s="1289"/>
      <c r="Q36" s="1289"/>
      <c r="R36" s="1289"/>
      <c r="S36" s="1289"/>
      <c r="T36" s="1289"/>
      <c r="U36" s="1289"/>
      <c r="V36" s="1289"/>
      <c r="W36" s="1289"/>
      <c r="X36" s="1289"/>
      <c r="Y36" s="1289"/>
      <c r="Z36" s="1289"/>
      <c r="AA36" s="1289"/>
      <c r="AB36" s="1289"/>
      <c r="AC36" s="1289"/>
      <c r="AD36" s="1289"/>
      <c r="AE36" s="1289"/>
      <c r="AF36" s="1289"/>
      <c r="AG36" s="1289"/>
      <c r="AH36" s="1289"/>
      <c r="AI36" s="1289"/>
      <c r="AJ36" s="1289"/>
      <c r="AK36" s="1289"/>
      <c r="AL36" s="1289"/>
      <c r="AM36" s="1289"/>
      <c r="AN36" s="1289"/>
      <c r="AO36" s="1289"/>
      <c r="AP36" s="1289"/>
      <c r="AQ36" s="1289"/>
      <c r="AR36" s="1289"/>
      <c r="AS36" s="1289"/>
      <c r="AT36" s="2670"/>
      <c r="AU36" s="122"/>
      <c r="AV36" s="114" t="str">
        <f>LEFT(I36,2)</f>
        <v>00</v>
      </c>
      <c r="AW36" s="114" t="str">
        <f>MID(I36,4,LEN(I36)-3)</f>
        <v>選択して下さい</v>
      </c>
      <c r="BO36" s="115" t="s">
        <v>1217</v>
      </c>
      <c r="BP36" s="115" t="s">
        <v>1443</v>
      </c>
      <c r="BQ36" s="115" t="s">
        <v>3335</v>
      </c>
      <c r="BR36" s="115" t="s">
        <v>3312</v>
      </c>
    </row>
    <row r="37" spans="1:74" ht="18" customHeight="1">
      <c r="A37" s="111"/>
      <c r="B37" s="181"/>
      <c r="C37" s="1310"/>
      <c r="D37" s="1311"/>
      <c r="E37" s="1311"/>
      <c r="F37" s="1311"/>
      <c r="G37" s="1311"/>
      <c r="H37" s="1312"/>
      <c r="I37" s="1317"/>
      <c r="J37" s="1318"/>
      <c r="K37" s="1318"/>
      <c r="L37" s="1318"/>
      <c r="M37" s="1318"/>
      <c r="N37" s="1290"/>
      <c r="O37" s="1290"/>
      <c r="P37" s="1290"/>
      <c r="Q37" s="1290"/>
      <c r="R37" s="1290"/>
      <c r="S37" s="1290"/>
      <c r="T37" s="1290"/>
      <c r="U37" s="1290"/>
      <c r="V37" s="1290"/>
      <c r="W37" s="1290"/>
      <c r="X37" s="1290"/>
      <c r="Y37" s="1290"/>
      <c r="Z37" s="1290"/>
      <c r="AA37" s="1290"/>
      <c r="AB37" s="1290"/>
      <c r="AC37" s="1290"/>
      <c r="AD37" s="1290"/>
      <c r="AE37" s="1290"/>
      <c r="AF37" s="1290"/>
      <c r="AG37" s="1290"/>
      <c r="AH37" s="1290"/>
      <c r="AI37" s="1290"/>
      <c r="AJ37" s="1290"/>
      <c r="AK37" s="1290"/>
      <c r="AL37" s="1290"/>
      <c r="AM37" s="1290"/>
      <c r="AN37" s="1290"/>
      <c r="AO37" s="1290"/>
      <c r="AP37" s="1290"/>
      <c r="AQ37" s="1290"/>
      <c r="AR37" s="1290"/>
      <c r="AS37" s="1290"/>
      <c r="AT37" s="2671"/>
      <c r="AU37" s="122"/>
      <c r="BO37" s="115" t="s">
        <v>1218</v>
      </c>
      <c r="BP37" s="115" t="s">
        <v>1444</v>
      </c>
      <c r="BQ37" s="115" t="s">
        <v>3336</v>
      </c>
      <c r="BR37" s="115" t="s">
        <v>3313</v>
      </c>
    </row>
    <row r="38" spans="1:74" ht="18" customHeight="1">
      <c r="A38" s="111"/>
      <c r="B38" s="181"/>
      <c r="C38" s="1295" t="s">
        <v>398</v>
      </c>
      <c r="D38" s="1296"/>
      <c r="E38" s="1296"/>
      <c r="F38" s="1296"/>
      <c r="G38" s="1296"/>
      <c r="H38" s="1297"/>
      <c r="I38" s="1298"/>
      <c r="J38" s="1299"/>
      <c r="K38" s="1299"/>
      <c r="L38" s="1299"/>
      <c r="M38" s="1299"/>
      <c r="N38" s="350" t="s">
        <v>1231</v>
      </c>
      <c r="O38" s="1299"/>
      <c r="P38" s="1299"/>
      <c r="Q38" s="1299"/>
      <c r="R38" s="1299"/>
      <c r="S38" s="350" t="s">
        <v>1232</v>
      </c>
      <c r="T38" s="1299"/>
      <c r="U38" s="1299"/>
      <c r="V38" s="1299"/>
      <c r="W38" s="1299"/>
      <c r="X38" s="1300"/>
      <c r="Y38" s="1301" t="s">
        <v>399</v>
      </c>
      <c r="Z38" s="1302"/>
      <c r="AA38" s="1302"/>
      <c r="AB38" s="1302"/>
      <c r="AC38" s="1302"/>
      <c r="AD38" s="1303"/>
      <c r="AE38" s="1298"/>
      <c r="AF38" s="1299"/>
      <c r="AG38" s="1299"/>
      <c r="AH38" s="1299"/>
      <c r="AI38" s="1299"/>
      <c r="AJ38" s="350" t="s">
        <v>1231</v>
      </c>
      <c r="AK38" s="1299"/>
      <c r="AL38" s="1299"/>
      <c r="AM38" s="1299"/>
      <c r="AN38" s="1299"/>
      <c r="AO38" s="350" t="s">
        <v>1182</v>
      </c>
      <c r="AP38" s="1299"/>
      <c r="AQ38" s="1299"/>
      <c r="AR38" s="1299"/>
      <c r="AS38" s="1299"/>
      <c r="AT38" s="1304"/>
      <c r="AU38" s="122"/>
      <c r="AV38" s="114" t="str">
        <f>IF(AND(I38&lt;&gt;"",O38&lt;&gt;"",T38&lt;&gt;""),IF(LENB(I38)+LENB(O38)+LENB(T38)&lt;13,"OK","NG"),"OK")</f>
        <v>OK</v>
      </c>
      <c r="AW38" s="114" t="str">
        <f>IF(AND(AE38&lt;&gt;"",AK38&lt;&gt;"",AP38&lt;&gt;""),IF(LENB(AE38)+LENB(AK38)+LENB(AP38)&lt;13,"OK","NG"),"OK")</f>
        <v>OK</v>
      </c>
      <c r="BO38" s="115" t="s">
        <v>1219</v>
      </c>
      <c r="BP38" s="115" t="s">
        <v>1445</v>
      </c>
      <c r="BQ38" s="115" t="s">
        <v>3337</v>
      </c>
      <c r="BR38" s="115" t="s">
        <v>3314</v>
      </c>
    </row>
    <row r="39" spans="1:74" ht="18" customHeight="1">
      <c r="A39" s="111"/>
      <c r="B39" s="181"/>
      <c r="C39" s="1295" t="s">
        <v>401</v>
      </c>
      <c r="D39" s="1296"/>
      <c r="E39" s="1296"/>
      <c r="F39" s="1296"/>
      <c r="G39" s="1296"/>
      <c r="H39" s="1297"/>
      <c r="I39" s="1323" t="s">
        <v>380</v>
      </c>
      <c r="J39" s="1324"/>
      <c r="K39" s="1325"/>
      <c r="L39" s="1325"/>
      <c r="M39" s="127" t="s">
        <v>381</v>
      </c>
      <c r="N39" s="1326"/>
      <c r="O39" s="1326"/>
      <c r="P39" s="128" t="s">
        <v>382</v>
      </c>
      <c r="Q39" s="1326"/>
      <c r="R39" s="1326"/>
      <c r="S39" s="1320" t="s">
        <v>383</v>
      </c>
      <c r="T39" s="1321"/>
      <c r="U39" s="1301" t="s">
        <v>402</v>
      </c>
      <c r="V39" s="1302"/>
      <c r="W39" s="1302"/>
      <c r="X39" s="1302"/>
      <c r="Y39" s="1302"/>
      <c r="Z39" s="1303"/>
      <c r="AA39" s="1319"/>
      <c r="AB39" s="1319"/>
      <c r="AC39" s="1319"/>
      <c r="AD39" s="1319"/>
      <c r="AE39" s="1319"/>
      <c r="AF39" s="1320" t="s">
        <v>403</v>
      </c>
      <c r="AG39" s="1321"/>
      <c r="AH39" s="1301" t="s">
        <v>404</v>
      </c>
      <c r="AI39" s="1302"/>
      <c r="AJ39" s="1302"/>
      <c r="AK39" s="1302"/>
      <c r="AL39" s="1302"/>
      <c r="AM39" s="1303"/>
      <c r="AN39" s="1319"/>
      <c r="AO39" s="1319"/>
      <c r="AP39" s="1319"/>
      <c r="AQ39" s="1319"/>
      <c r="AR39" s="1319"/>
      <c r="AS39" s="1320" t="s">
        <v>403</v>
      </c>
      <c r="AT39" s="1322"/>
      <c r="AU39" s="122"/>
      <c r="BO39" s="115" t="s">
        <v>1220</v>
      </c>
      <c r="BP39" s="115" t="s">
        <v>1446</v>
      </c>
      <c r="BQ39" s="115" t="s">
        <v>3338</v>
      </c>
      <c r="BR39" s="115" t="s">
        <v>3315</v>
      </c>
    </row>
    <row r="40" spans="1:74" ht="18" customHeight="1">
      <c r="A40" s="111"/>
      <c r="B40" s="181"/>
      <c r="C40" s="1327" t="s">
        <v>817</v>
      </c>
      <c r="D40" s="1328"/>
      <c r="E40" s="1328"/>
      <c r="F40" s="1328"/>
      <c r="G40" s="1328"/>
      <c r="H40" s="1329"/>
      <c r="I40" s="1330"/>
      <c r="J40" s="1331"/>
      <c r="K40" s="1331"/>
      <c r="L40" s="1331"/>
      <c r="M40" s="1331"/>
      <c r="N40" s="1331"/>
      <c r="O40" s="1331"/>
      <c r="P40" s="1331"/>
      <c r="Q40" s="1331"/>
      <c r="R40" s="1331"/>
      <c r="S40" s="1331"/>
      <c r="T40" s="1331"/>
      <c r="U40" s="1331"/>
      <c r="V40" s="1331"/>
      <c r="W40" s="1331"/>
      <c r="X40" s="1331"/>
      <c r="Y40" s="1331"/>
      <c r="Z40" s="1331"/>
      <c r="AA40" s="1331"/>
      <c r="AB40" s="1331"/>
      <c r="AC40" s="1331"/>
      <c r="AD40" s="1331"/>
      <c r="AE40" s="1331"/>
      <c r="AF40" s="1331"/>
      <c r="AG40" s="1331"/>
      <c r="AH40" s="1331"/>
      <c r="AI40" s="1331"/>
      <c r="AJ40" s="1331"/>
      <c r="AK40" s="1331"/>
      <c r="AL40" s="1331"/>
      <c r="AM40" s="1331"/>
      <c r="AN40" s="1331"/>
      <c r="AO40" s="1331"/>
      <c r="AP40" s="1331"/>
      <c r="AQ40" s="1331"/>
      <c r="AR40" s="1331"/>
      <c r="AS40" s="1331"/>
      <c r="AT40" s="1332"/>
      <c r="AU40" s="122"/>
      <c r="BO40" s="115" t="s">
        <v>1221</v>
      </c>
      <c r="BP40" s="115" t="s">
        <v>1447</v>
      </c>
      <c r="BQ40" s="115" t="s">
        <v>3339</v>
      </c>
      <c r="BR40" s="115" t="s">
        <v>3316</v>
      </c>
    </row>
    <row r="41" spans="1:74" ht="18" customHeight="1">
      <c r="A41" s="111"/>
      <c r="B41" s="181"/>
      <c r="C41" s="1242"/>
      <c r="D41" s="1243"/>
      <c r="E41" s="1243"/>
      <c r="F41" s="1243"/>
      <c r="G41" s="1243"/>
      <c r="H41" s="1244"/>
      <c r="I41" s="1180"/>
      <c r="J41" s="1181"/>
      <c r="K41" s="1181"/>
      <c r="L41" s="1181"/>
      <c r="M41" s="1181"/>
      <c r="N41" s="1181"/>
      <c r="O41" s="1181"/>
      <c r="P41" s="1181"/>
      <c r="Q41" s="1181"/>
      <c r="R41" s="1181"/>
      <c r="S41" s="1181"/>
      <c r="T41" s="1181"/>
      <c r="U41" s="1181"/>
      <c r="V41" s="1181"/>
      <c r="W41" s="1181"/>
      <c r="X41" s="1181"/>
      <c r="Y41" s="1181"/>
      <c r="Z41" s="1181"/>
      <c r="AA41" s="1181"/>
      <c r="AB41" s="1181"/>
      <c r="AC41" s="1181"/>
      <c r="AD41" s="1181"/>
      <c r="AE41" s="1181"/>
      <c r="AF41" s="1181"/>
      <c r="AG41" s="1181"/>
      <c r="AH41" s="1181"/>
      <c r="AI41" s="1181"/>
      <c r="AJ41" s="1181"/>
      <c r="AK41" s="1181"/>
      <c r="AL41" s="1181"/>
      <c r="AM41" s="1181"/>
      <c r="AN41" s="1181"/>
      <c r="AO41" s="1181"/>
      <c r="AP41" s="1181"/>
      <c r="AQ41" s="1181"/>
      <c r="AR41" s="1181"/>
      <c r="AS41" s="1181"/>
      <c r="AT41" s="1182"/>
      <c r="AU41" s="122"/>
      <c r="BO41" s="115" t="s">
        <v>1222</v>
      </c>
      <c r="BP41" s="123" t="s">
        <v>1448</v>
      </c>
      <c r="BQ41" s="115" t="s">
        <v>3340</v>
      </c>
      <c r="BR41" s="115" t="s">
        <v>3317</v>
      </c>
      <c r="BS41" s="224"/>
    </row>
    <row r="42" spans="1:74" ht="18.649999999999999" customHeight="1">
      <c r="A42" s="111"/>
      <c r="B42" s="181"/>
      <c r="C42" s="1333" t="s">
        <v>865</v>
      </c>
      <c r="D42" s="1328"/>
      <c r="E42" s="1328"/>
      <c r="F42" s="1328"/>
      <c r="G42" s="1328"/>
      <c r="H42" s="1329"/>
      <c r="I42" s="1334"/>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1335"/>
      <c r="AT42" s="1336"/>
      <c r="AU42" s="122"/>
      <c r="BO42" s="123" t="s">
        <v>1223</v>
      </c>
      <c r="BP42" s="123" t="s">
        <v>1449</v>
      </c>
      <c r="BQ42" s="115" t="s">
        <v>796</v>
      </c>
      <c r="BR42" s="115" t="s">
        <v>3318</v>
      </c>
      <c r="BS42" s="224"/>
    </row>
    <row r="43" spans="1:74" ht="18.649999999999999" customHeight="1" thickBot="1">
      <c r="A43" s="111"/>
      <c r="B43" s="181"/>
      <c r="C43" s="1337" t="s">
        <v>863</v>
      </c>
      <c r="D43" s="1338"/>
      <c r="E43" s="1338"/>
      <c r="F43" s="1338"/>
      <c r="G43" s="1338"/>
      <c r="H43" s="1339"/>
      <c r="I43" s="1340"/>
      <c r="J43" s="1341"/>
      <c r="K43" s="1341"/>
      <c r="L43" s="1341"/>
      <c r="M43" s="1341"/>
      <c r="N43" s="1341"/>
      <c r="O43" s="1342" t="s">
        <v>814</v>
      </c>
      <c r="P43" s="1342"/>
      <c r="Q43" s="1343"/>
      <c r="R43" s="1344" t="s">
        <v>815</v>
      </c>
      <c r="S43" s="1338"/>
      <c r="T43" s="1338"/>
      <c r="U43" s="1338"/>
      <c r="V43" s="1338"/>
      <c r="W43" s="1339"/>
      <c r="X43" s="1340"/>
      <c r="Y43" s="1341"/>
      <c r="Z43" s="1341"/>
      <c r="AA43" s="1341"/>
      <c r="AB43" s="1341"/>
      <c r="AC43" s="1342" t="s">
        <v>816</v>
      </c>
      <c r="AD43" s="1342"/>
      <c r="AE43" s="1342"/>
      <c r="AF43" s="1344" t="s">
        <v>1075</v>
      </c>
      <c r="AG43" s="1338"/>
      <c r="AH43" s="1338"/>
      <c r="AI43" s="1338"/>
      <c r="AJ43" s="1338"/>
      <c r="AK43" s="1339"/>
      <c r="AL43" s="1345"/>
      <c r="AM43" s="1346"/>
      <c r="AN43" s="1346"/>
      <c r="AO43" s="1346"/>
      <c r="AP43" s="1346"/>
      <c r="AQ43" s="1346"/>
      <c r="AR43" s="1346"/>
      <c r="AS43" s="1346"/>
      <c r="AT43" s="1347"/>
      <c r="AU43" s="122"/>
      <c r="AV43" s="114" t="str">
        <f>IF(OR(LEN(AL43)=13,AV13=2),"OK","NG")</f>
        <v>NG</v>
      </c>
      <c r="AZ43" s="341"/>
      <c r="BO43" s="123" t="s">
        <v>1224</v>
      </c>
      <c r="BP43" s="132" t="s">
        <v>1450</v>
      </c>
      <c r="BQ43" s="115" t="s">
        <v>3341</v>
      </c>
      <c r="BR43" s="115" t="s">
        <v>3319</v>
      </c>
      <c r="BS43" s="225"/>
      <c r="BT43" s="132"/>
      <c r="BU43" s="132"/>
      <c r="BV43" s="132"/>
    </row>
    <row r="44" spans="1:74" ht="18.649999999999999" customHeight="1">
      <c r="A44" s="111"/>
      <c r="B44" s="181"/>
      <c r="C44" s="129"/>
      <c r="D44" s="129"/>
      <c r="E44" s="129"/>
      <c r="F44" s="129"/>
      <c r="G44" s="129"/>
      <c r="H44" s="129"/>
      <c r="I44" s="479"/>
      <c r="J44" s="339"/>
      <c r="K44" s="339"/>
      <c r="L44" s="339"/>
      <c r="M44" s="339"/>
      <c r="N44" s="339"/>
      <c r="O44" s="339"/>
      <c r="P44" s="339"/>
      <c r="Q44" s="339"/>
      <c r="R44" s="339"/>
      <c r="S44" s="339"/>
      <c r="T44" s="339"/>
      <c r="U44" s="339"/>
      <c r="V44" s="339"/>
      <c r="W44" s="339"/>
      <c r="X44" s="314"/>
      <c r="Y44" s="314"/>
      <c r="Z44" s="314"/>
      <c r="AA44" s="1348" t="s">
        <v>1076</v>
      </c>
      <c r="AB44" s="1348"/>
      <c r="AC44" s="1348"/>
      <c r="AD44" s="1348"/>
      <c r="AE44" s="1348"/>
      <c r="AF44" s="1348"/>
      <c r="AG44" s="1348"/>
      <c r="AH44" s="1348"/>
      <c r="AI44" s="1348"/>
      <c r="AJ44" s="1348"/>
      <c r="AK44" s="1348"/>
      <c r="AL44" s="1348"/>
      <c r="AM44" s="1348"/>
      <c r="AN44" s="1348"/>
      <c r="AO44" s="1348"/>
      <c r="AP44" s="1348"/>
      <c r="AQ44" s="1348"/>
      <c r="AR44" s="1348"/>
      <c r="AS44" s="1348"/>
      <c r="AT44" s="1348"/>
      <c r="AU44" s="122"/>
      <c r="AZ44" s="341"/>
      <c r="BI44" s="123"/>
      <c r="BJ44" s="123"/>
      <c r="BK44" s="123"/>
      <c r="BL44" s="123"/>
      <c r="BM44" s="123"/>
      <c r="BN44" s="123"/>
      <c r="BO44" s="132" t="s">
        <v>1225</v>
      </c>
      <c r="BP44" s="115" t="s">
        <v>1451</v>
      </c>
      <c r="BQ44" s="115" t="s">
        <v>3342</v>
      </c>
      <c r="BR44" s="115" t="s">
        <v>3320</v>
      </c>
    </row>
    <row r="45" spans="1:74" ht="18.649999999999999" customHeight="1">
      <c r="A45" s="111"/>
      <c r="B45" s="181"/>
      <c r="C45" s="129"/>
      <c r="D45" s="129"/>
      <c r="E45" s="129"/>
      <c r="F45" s="129"/>
      <c r="G45" s="129"/>
      <c r="H45" s="129"/>
      <c r="I45" s="480"/>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122"/>
      <c r="BI45" s="123"/>
      <c r="BJ45" s="123"/>
      <c r="BK45" s="123"/>
      <c r="BL45" s="123"/>
      <c r="BM45" s="123"/>
      <c r="BN45" s="123"/>
      <c r="BO45" s="115" t="s">
        <v>1226</v>
      </c>
      <c r="BP45" s="115" t="s">
        <v>1452</v>
      </c>
      <c r="BQ45" s="115" t="s">
        <v>3343</v>
      </c>
      <c r="BR45" s="115" t="s">
        <v>3321</v>
      </c>
    </row>
    <row r="46" spans="1:74" ht="18.649999999999999" customHeight="1">
      <c r="A46" s="111"/>
      <c r="B46" s="181"/>
      <c r="C46" s="129"/>
      <c r="D46" s="129"/>
      <c r="E46" s="129"/>
      <c r="F46" s="129"/>
      <c r="G46" s="129"/>
      <c r="H46" s="129"/>
      <c r="I46" s="481"/>
      <c r="J46" s="339"/>
      <c r="K46" s="339"/>
      <c r="L46" s="339"/>
      <c r="M46" s="1136" t="s">
        <v>949</v>
      </c>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22"/>
      <c r="BI46" s="132"/>
      <c r="BJ46" s="132"/>
      <c r="BK46" s="132"/>
      <c r="BL46" s="132"/>
      <c r="BM46" s="132"/>
      <c r="BN46" s="132"/>
      <c r="BO46" s="115" t="s">
        <v>1227</v>
      </c>
      <c r="BP46" s="115" t="s">
        <v>1453</v>
      </c>
      <c r="BQ46" s="115" t="s">
        <v>3344</v>
      </c>
      <c r="BR46" s="115" t="s">
        <v>3322</v>
      </c>
    </row>
    <row r="47" spans="1:74" ht="18.649999999999999" customHeight="1" thickBot="1">
      <c r="A47" s="111"/>
      <c r="B47" s="181"/>
      <c r="C47" s="129"/>
      <c r="D47" s="129"/>
      <c r="E47" s="129"/>
      <c r="F47" s="129"/>
      <c r="G47" s="129"/>
      <c r="H47" s="129"/>
      <c r="I47" s="481"/>
      <c r="J47" s="339"/>
      <c r="K47" s="339"/>
      <c r="L47" s="339"/>
      <c r="M47" s="1136"/>
      <c r="N47" s="1136"/>
      <c r="O47" s="1136"/>
      <c r="P47" s="1136"/>
      <c r="Q47" s="1136"/>
      <c r="R47" s="1137"/>
      <c r="S47" s="1137"/>
      <c r="T47" s="1137"/>
      <c r="U47" s="1137"/>
      <c r="V47" s="1137"/>
      <c r="W47" s="1137"/>
      <c r="X47" s="1137"/>
      <c r="Y47" s="1137"/>
      <c r="Z47" s="1137"/>
      <c r="AA47" s="1137"/>
      <c r="AB47" s="1137"/>
      <c r="AC47" s="1137"/>
      <c r="AD47" s="1137"/>
      <c r="AE47" s="1137"/>
      <c r="AF47" s="1137"/>
      <c r="AG47" s="1137"/>
      <c r="AH47" s="1137"/>
      <c r="AI47" s="1137"/>
      <c r="AJ47" s="1137"/>
      <c r="AK47" s="1137"/>
      <c r="AL47" s="1137"/>
      <c r="AM47" s="1137"/>
      <c r="AN47" s="1137"/>
      <c r="AO47" s="1137"/>
      <c r="AP47" s="1137"/>
      <c r="AQ47" s="1137"/>
      <c r="AR47" s="1137"/>
      <c r="AS47" s="1137"/>
      <c r="AT47" s="1137"/>
      <c r="AU47" s="122"/>
      <c r="BO47" s="115" t="s">
        <v>1228</v>
      </c>
      <c r="BP47" s="115" t="s">
        <v>1454</v>
      </c>
      <c r="BQ47" s="115" t="s">
        <v>3345</v>
      </c>
      <c r="BR47" s="115" t="s">
        <v>3323</v>
      </c>
    </row>
    <row r="48" spans="1:74" ht="18" customHeight="1">
      <c r="A48" s="111"/>
      <c r="B48" s="181">
        <f>IF(OR(I48="",O48="",I49="",O49="",X48="",AI49="",AM49="",AQ49="",O51="",W51="",AE51="",J52="",M52="",I53="",N53="",V53="",AD53="",I55="",O55="",T55="",AV48=0,AV53="00"),1,0)</f>
        <v>1</v>
      </c>
      <c r="C48" s="1258" t="s">
        <v>761</v>
      </c>
      <c r="D48" s="1259"/>
      <c r="E48" s="1259"/>
      <c r="F48" s="1259"/>
      <c r="G48" s="1259"/>
      <c r="H48" s="1260"/>
      <c r="I48" s="2721"/>
      <c r="J48" s="2664"/>
      <c r="K48" s="2664"/>
      <c r="L48" s="2664"/>
      <c r="M48" s="2664"/>
      <c r="N48" s="2664"/>
      <c r="O48" s="2664"/>
      <c r="P48" s="2664"/>
      <c r="Q48" s="2664"/>
      <c r="R48" s="2664"/>
      <c r="S48" s="2664"/>
      <c r="T48" s="2665"/>
      <c r="U48" s="1352" t="s">
        <v>406</v>
      </c>
      <c r="V48" s="1353"/>
      <c r="W48" s="1354"/>
      <c r="X48" s="1358"/>
      <c r="Y48" s="1358"/>
      <c r="Z48" s="1358"/>
      <c r="AA48" s="1358"/>
      <c r="AB48" s="1358"/>
      <c r="AC48" s="1359"/>
      <c r="AD48" s="1363" t="s">
        <v>407</v>
      </c>
      <c r="AE48" s="1364"/>
      <c r="AF48" s="1365"/>
      <c r="AG48" s="1366"/>
      <c r="AH48" s="1367"/>
      <c r="AI48" s="330" t="s">
        <v>408</v>
      </c>
      <c r="AJ48" s="1367"/>
      <c r="AK48" s="1367"/>
      <c r="AL48" s="330" t="s">
        <v>409</v>
      </c>
      <c r="AM48" s="130"/>
      <c r="AN48" s="130"/>
      <c r="AO48" s="130"/>
      <c r="AP48" s="130"/>
      <c r="AQ48" s="130"/>
      <c r="AR48" s="130"/>
      <c r="AS48" s="130"/>
      <c r="AT48" s="131"/>
      <c r="AU48" s="122"/>
      <c r="AV48" s="114">
        <v>0</v>
      </c>
      <c r="BO48" s="115" t="s">
        <v>1229</v>
      </c>
      <c r="BP48" s="115" t="s">
        <v>1455</v>
      </c>
      <c r="BQ48" s="115" t="s">
        <v>3346</v>
      </c>
      <c r="BR48" s="693" t="s">
        <v>3324</v>
      </c>
    </row>
    <row r="49" spans="1:74" ht="18" customHeight="1">
      <c r="A49" s="111"/>
      <c r="B49" s="181"/>
      <c r="C49" s="1200" t="s">
        <v>411</v>
      </c>
      <c r="D49" s="1201"/>
      <c r="E49" s="1201"/>
      <c r="F49" s="1201"/>
      <c r="G49" s="1201"/>
      <c r="H49" s="1202"/>
      <c r="I49" s="2722"/>
      <c r="J49" s="2666"/>
      <c r="K49" s="2666"/>
      <c r="L49" s="2666"/>
      <c r="M49" s="2666"/>
      <c r="N49" s="2666"/>
      <c r="O49" s="2666"/>
      <c r="P49" s="2666"/>
      <c r="Q49" s="2666"/>
      <c r="R49" s="2666"/>
      <c r="S49" s="2666"/>
      <c r="T49" s="2667"/>
      <c r="U49" s="1158"/>
      <c r="V49" s="1159"/>
      <c r="W49" s="1160"/>
      <c r="X49" s="1156"/>
      <c r="Y49" s="1156"/>
      <c r="Z49" s="1156"/>
      <c r="AA49" s="1156"/>
      <c r="AB49" s="1156"/>
      <c r="AC49" s="1360"/>
      <c r="AD49" s="1374" t="s">
        <v>412</v>
      </c>
      <c r="AE49" s="1375"/>
      <c r="AF49" s="1376"/>
      <c r="AG49" s="1377" t="s">
        <v>380</v>
      </c>
      <c r="AH49" s="1377"/>
      <c r="AI49" s="1378"/>
      <c r="AJ49" s="1378"/>
      <c r="AK49" s="1377" t="s">
        <v>381</v>
      </c>
      <c r="AL49" s="1377"/>
      <c r="AM49" s="1379"/>
      <c r="AN49" s="1379"/>
      <c r="AO49" s="1380" t="s">
        <v>413</v>
      </c>
      <c r="AP49" s="1380"/>
      <c r="AQ49" s="1379"/>
      <c r="AR49" s="1379"/>
      <c r="AS49" s="1380" t="s">
        <v>414</v>
      </c>
      <c r="AT49" s="1381"/>
      <c r="AU49" s="122"/>
      <c r="AZ49" s="133"/>
      <c r="BO49" s="115" t="s">
        <v>1230</v>
      </c>
      <c r="BP49" s="115" t="s">
        <v>1456</v>
      </c>
      <c r="BQ49" s="115" t="s">
        <v>3347</v>
      </c>
      <c r="BR49" s="115" t="s">
        <v>3325</v>
      </c>
    </row>
    <row r="50" spans="1:74" ht="18" customHeight="1">
      <c r="A50" s="111"/>
      <c r="B50" s="181"/>
      <c r="C50" s="1200"/>
      <c r="D50" s="1201"/>
      <c r="E50" s="1201"/>
      <c r="F50" s="1201"/>
      <c r="G50" s="1201"/>
      <c r="H50" s="1202"/>
      <c r="I50" s="2723"/>
      <c r="J50" s="2668"/>
      <c r="K50" s="2668"/>
      <c r="L50" s="2668"/>
      <c r="M50" s="2668"/>
      <c r="N50" s="2668"/>
      <c r="O50" s="2668"/>
      <c r="P50" s="2668"/>
      <c r="Q50" s="2668"/>
      <c r="R50" s="2668"/>
      <c r="S50" s="2668"/>
      <c r="T50" s="2669"/>
      <c r="U50" s="1355"/>
      <c r="V50" s="1356"/>
      <c r="W50" s="1357"/>
      <c r="X50" s="1361"/>
      <c r="Y50" s="1361"/>
      <c r="Z50" s="1361"/>
      <c r="AA50" s="1361"/>
      <c r="AB50" s="1361"/>
      <c r="AC50" s="1362"/>
      <c r="AD50" s="1355"/>
      <c r="AE50" s="1356"/>
      <c r="AF50" s="1357"/>
      <c r="AG50" s="1377"/>
      <c r="AH50" s="1377"/>
      <c r="AI50" s="1378"/>
      <c r="AJ50" s="1378"/>
      <c r="AK50" s="1377"/>
      <c r="AL50" s="1377"/>
      <c r="AM50" s="1378"/>
      <c r="AN50" s="1378"/>
      <c r="AO50" s="1377"/>
      <c r="AP50" s="1377"/>
      <c r="AQ50" s="1378"/>
      <c r="AR50" s="1378"/>
      <c r="AS50" s="1377"/>
      <c r="AT50" s="1382"/>
      <c r="AU50" s="122"/>
      <c r="BP50" s="123"/>
      <c r="BQ50" s="123"/>
      <c r="BR50" s="123"/>
      <c r="BS50" s="224"/>
    </row>
    <row r="51" spans="1:74" ht="18" customHeight="1">
      <c r="A51" s="111"/>
      <c r="B51" s="181"/>
      <c r="C51" s="1245" t="s">
        <v>2026</v>
      </c>
      <c r="D51" s="1246"/>
      <c r="E51" s="1246"/>
      <c r="F51" s="1246"/>
      <c r="G51" s="1246"/>
      <c r="H51" s="1247"/>
      <c r="I51" s="397"/>
      <c r="J51" s="1248" t="str">
        <f>VLOOKUP(I53,BO2:BP49,2,FALSE)</f>
        <v>（自動表示）</v>
      </c>
      <c r="K51" s="1248"/>
      <c r="L51" s="1248"/>
      <c r="M51" s="1249"/>
      <c r="N51" s="503"/>
      <c r="O51" s="1285"/>
      <c r="P51" s="1285"/>
      <c r="Q51" s="1285"/>
      <c r="R51" s="1285"/>
      <c r="S51" s="1285"/>
      <c r="T51" s="1285"/>
      <c r="U51" s="1285"/>
      <c r="V51" s="503"/>
      <c r="W51" s="1285"/>
      <c r="X51" s="1285"/>
      <c r="Y51" s="1285"/>
      <c r="Z51" s="1285"/>
      <c r="AA51" s="1285"/>
      <c r="AB51" s="1285"/>
      <c r="AC51" s="1286"/>
      <c r="AD51" s="503"/>
      <c r="AE51" s="1285"/>
      <c r="AF51" s="1285"/>
      <c r="AG51" s="1285"/>
      <c r="AH51" s="1285"/>
      <c r="AI51" s="1285"/>
      <c r="AJ51" s="1285"/>
      <c r="AK51" s="1286"/>
      <c r="AL51" s="503"/>
      <c r="AM51" s="1287"/>
      <c r="AN51" s="1287"/>
      <c r="AO51" s="1287"/>
      <c r="AP51" s="1287"/>
      <c r="AQ51" s="1287"/>
      <c r="AR51" s="1287"/>
      <c r="AS51" s="1287"/>
      <c r="AT51" s="1288"/>
      <c r="AU51" s="122"/>
      <c r="AV51" s="114" t="str">
        <f>IF(ISERROR(FIND({"１","２","３","４","５","６","７","８","９","０","1","2","3","4","5","6","7","8","9","0","-","―","－","-","・","！","!","@","&amp;","."},O51&amp;W51&amp;AE51&amp;AM51)),"OK","NG")</f>
        <v>OK</v>
      </c>
      <c r="BO51" s="123"/>
      <c r="BP51" s="123"/>
      <c r="BQ51" s="123"/>
      <c r="BR51" s="123"/>
      <c r="BS51" s="224"/>
    </row>
    <row r="52" spans="1:74" ht="18" customHeight="1">
      <c r="A52" s="111"/>
      <c r="B52" s="181"/>
      <c r="C52" s="1387" t="s">
        <v>859</v>
      </c>
      <c r="D52" s="1388"/>
      <c r="E52" s="1388"/>
      <c r="F52" s="1388"/>
      <c r="G52" s="1388"/>
      <c r="H52" s="1389"/>
      <c r="I52" s="504" t="s">
        <v>2027</v>
      </c>
      <c r="J52" s="1313"/>
      <c r="K52" s="1313"/>
      <c r="L52" s="505" t="s">
        <v>2028</v>
      </c>
      <c r="M52" s="1314"/>
      <c r="N52" s="1314"/>
      <c r="O52" s="505"/>
      <c r="P52" s="505"/>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6"/>
      <c r="AN52" s="506"/>
      <c r="AO52" s="506"/>
      <c r="AP52" s="506"/>
      <c r="AQ52" s="506"/>
      <c r="AR52" s="506"/>
      <c r="AS52" s="506"/>
      <c r="AT52" s="507"/>
      <c r="AU52" s="122"/>
      <c r="BO52" s="123"/>
    </row>
    <row r="53" spans="1:74" ht="18" customHeight="1">
      <c r="A53" s="111"/>
      <c r="B53" s="181"/>
      <c r="C53" s="1200"/>
      <c r="D53" s="1201"/>
      <c r="E53" s="1201"/>
      <c r="F53" s="1201"/>
      <c r="G53" s="1201"/>
      <c r="H53" s="1202"/>
      <c r="I53" s="1315" t="s">
        <v>777</v>
      </c>
      <c r="J53" s="1316"/>
      <c r="K53" s="1316"/>
      <c r="L53" s="1316"/>
      <c r="M53" s="1316"/>
      <c r="N53" s="1289"/>
      <c r="O53" s="1289"/>
      <c r="P53" s="1289"/>
      <c r="Q53" s="1289"/>
      <c r="R53" s="1289"/>
      <c r="S53" s="1289"/>
      <c r="T53" s="1289"/>
      <c r="U53" s="1289"/>
      <c r="V53" s="1289"/>
      <c r="W53" s="1289"/>
      <c r="X53" s="1289"/>
      <c r="Y53" s="1289"/>
      <c r="Z53" s="1289"/>
      <c r="AA53" s="1289"/>
      <c r="AB53" s="1289"/>
      <c r="AC53" s="1289"/>
      <c r="AD53" s="1289"/>
      <c r="AE53" s="1289"/>
      <c r="AF53" s="1289"/>
      <c r="AG53" s="1289"/>
      <c r="AH53" s="1289"/>
      <c r="AI53" s="1289"/>
      <c r="AJ53" s="1289"/>
      <c r="AK53" s="1289"/>
      <c r="AL53" s="1289"/>
      <c r="AM53" s="1289"/>
      <c r="AN53" s="1289"/>
      <c r="AO53" s="1289"/>
      <c r="AP53" s="1289"/>
      <c r="AQ53" s="1289"/>
      <c r="AR53" s="1289"/>
      <c r="AS53" s="1289"/>
      <c r="AT53" s="2670"/>
      <c r="AU53" s="122"/>
      <c r="AV53" s="114" t="str">
        <f>LEFT(I53,2)</f>
        <v>00</v>
      </c>
      <c r="AW53" s="114" t="str">
        <f>MID(I53,4,LEN(I53)-3)</f>
        <v>選択して下さい</v>
      </c>
      <c r="BF53" s="123"/>
      <c r="BG53" s="123"/>
      <c r="BH53" s="123"/>
      <c r="BI53" s="123"/>
      <c r="BJ53" s="123"/>
      <c r="BK53" s="123"/>
      <c r="BL53" s="123"/>
      <c r="BM53" s="123"/>
      <c r="BN53" s="123"/>
      <c r="BU53" s="116"/>
      <c r="BV53" s="116"/>
    </row>
    <row r="54" spans="1:74" ht="18" customHeight="1">
      <c r="A54" s="111"/>
      <c r="B54" s="181"/>
      <c r="C54" s="1242"/>
      <c r="D54" s="1243"/>
      <c r="E54" s="1243"/>
      <c r="F54" s="1243"/>
      <c r="G54" s="1243"/>
      <c r="H54" s="1244"/>
      <c r="I54" s="1317"/>
      <c r="J54" s="1318"/>
      <c r="K54" s="1318"/>
      <c r="L54" s="1318"/>
      <c r="M54" s="1318"/>
      <c r="N54" s="1290"/>
      <c r="O54" s="1290"/>
      <c r="P54" s="1290"/>
      <c r="Q54" s="1290"/>
      <c r="R54" s="1290"/>
      <c r="S54" s="1290"/>
      <c r="T54" s="1290"/>
      <c r="U54" s="1290"/>
      <c r="V54" s="1290"/>
      <c r="W54" s="1290"/>
      <c r="X54" s="1290"/>
      <c r="Y54" s="1290"/>
      <c r="Z54" s="1290"/>
      <c r="AA54" s="1290"/>
      <c r="AB54" s="1290"/>
      <c r="AC54" s="1290"/>
      <c r="AD54" s="1290"/>
      <c r="AE54" s="1290"/>
      <c r="AF54" s="1290"/>
      <c r="AG54" s="1290"/>
      <c r="AH54" s="1290"/>
      <c r="AI54" s="1290"/>
      <c r="AJ54" s="1290"/>
      <c r="AK54" s="1290"/>
      <c r="AL54" s="1290"/>
      <c r="AM54" s="1290"/>
      <c r="AN54" s="1290"/>
      <c r="AO54" s="1290"/>
      <c r="AP54" s="1290"/>
      <c r="AQ54" s="1290"/>
      <c r="AR54" s="1290"/>
      <c r="AS54" s="1290"/>
      <c r="AT54" s="2671"/>
      <c r="AU54" s="122"/>
      <c r="BF54" s="123"/>
      <c r="BG54" s="123"/>
      <c r="BH54" s="123"/>
      <c r="BI54" s="123"/>
      <c r="BJ54" s="123"/>
      <c r="BK54" s="123"/>
      <c r="BL54" s="123"/>
      <c r="BM54" s="123"/>
      <c r="BN54" s="123"/>
      <c r="BU54" s="116"/>
      <c r="BV54" s="116"/>
    </row>
    <row r="55" spans="1:74" ht="18" customHeight="1" thickBot="1">
      <c r="A55" s="111"/>
      <c r="B55" s="181"/>
      <c r="C55" s="1337" t="s">
        <v>398</v>
      </c>
      <c r="D55" s="1338"/>
      <c r="E55" s="1338"/>
      <c r="F55" s="1338"/>
      <c r="G55" s="1338"/>
      <c r="H55" s="1339"/>
      <c r="I55" s="1345"/>
      <c r="J55" s="1346"/>
      <c r="K55" s="1346"/>
      <c r="L55" s="1346"/>
      <c r="M55" s="1346"/>
      <c r="N55" s="351" t="s">
        <v>1231</v>
      </c>
      <c r="O55" s="1346"/>
      <c r="P55" s="1346"/>
      <c r="Q55" s="1346"/>
      <c r="R55" s="1346"/>
      <c r="S55" s="351" t="s">
        <v>1232</v>
      </c>
      <c r="T55" s="1346"/>
      <c r="U55" s="1346"/>
      <c r="V55" s="1346"/>
      <c r="W55" s="1346"/>
      <c r="X55" s="1383"/>
      <c r="Y55" s="1384" t="s">
        <v>399</v>
      </c>
      <c r="Z55" s="1385"/>
      <c r="AA55" s="1385"/>
      <c r="AB55" s="1385"/>
      <c r="AC55" s="1385"/>
      <c r="AD55" s="1386"/>
      <c r="AE55" s="1345"/>
      <c r="AF55" s="1346"/>
      <c r="AG55" s="1346"/>
      <c r="AH55" s="1346"/>
      <c r="AI55" s="1346"/>
      <c r="AJ55" s="351" t="s">
        <v>1231</v>
      </c>
      <c r="AK55" s="1346"/>
      <c r="AL55" s="1346"/>
      <c r="AM55" s="1346"/>
      <c r="AN55" s="1346"/>
      <c r="AO55" s="351" t="s">
        <v>1182</v>
      </c>
      <c r="AP55" s="1346"/>
      <c r="AQ55" s="1346"/>
      <c r="AR55" s="1346"/>
      <c r="AS55" s="1346"/>
      <c r="AT55" s="1347"/>
      <c r="AU55" s="122"/>
      <c r="AV55" s="114" t="str">
        <f>IF(AND(I55&lt;&gt;"",O55&lt;&gt;"",T55&lt;&gt;""),IF(LENB(I55)+LENB(O55)+LENB(T55)&lt;13,"OK","NG"),"OK")</f>
        <v>OK</v>
      </c>
      <c r="AW55" s="114" t="str">
        <f>IF(AND(AE55&lt;&gt;"",AK55&lt;&gt;"",AP55&lt;&gt;""),IF(LENB(AE55)+LENB(AK55)+LENB(AP55)&lt;13,"OK","NG"),"OK")</f>
        <v>OK</v>
      </c>
      <c r="BF55" s="123"/>
      <c r="BG55" s="123"/>
      <c r="BH55" s="123"/>
      <c r="BU55" s="116"/>
      <c r="BV55" s="116"/>
    </row>
    <row r="56" spans="1:74" ht="18.649999999999999" customHeight="1">
      <c r="A56" s="111"/>
      <c r="B56" s="181"/>
      <c r="C56" s="129"/>
      <c r="D56" s="129"/>
      <c r="E56" s="129"/>
      <c r="F56" s="129"/>
      <c r="G56" s="129"/>
      <c r="H56" s="129"/>
      <c r="I56" s="478"/>
      <c r="J56" s="478"/>
      <c r="K56" s="478"/>
      <c r="L56" s="478"/>
      <c r="M56" s="478"/>
      <c r="N56" s="478"/>
      <c r="O56" s="478"/>
      <c r="P56" s="478"/>
      <c r="Q56" s="478"/>
      <c r="R56" s="478"/>
      <c r="S56" s="478"/>
      <c r="T56" s="478"/>
      <c r="U56" s="478"/>
      <c r="V56" s="478"/>
      <c r="W56" s="478"/>
      <c r="X56" s="478"/>
      <c r="Y56" s="134"/>
      <c r="Z56" s="134"/>
      <c r="AA56" s="134"/>
      <c r="AB56" s="134"/>
      <c r="AC56" s="134"/>
      <c r="AD56" s="134"/>
      <c r="AE56" s="478"/>
      <c r="AF56" s="478"/>
      <c r="AG56" s="478"/>
      <c r="AH56" s="478"/>
      <c r="AI56" s="478"/>
      <c r="AJ56" s="478"/>
      <c r="AK56" s="478"/>
      <c r="AL56" s="478"/>
      <c r="AM56" s="478"/>
      <c r="AN56" s="478"/>
      <c r="AO56" s="478"/>
      <c r="AP56" s="478"/>
      <c r="AQ56" s="478"/>
      <c r="AR56" s="478"/>
      <c r="AS56" s="478"/>
      <c r="AT56" s="478"/>
      <c r="AU56" s="122"/>
      <c r="BF56" s="123"/>
      <c r="BG56" s="123"/>
      <c r="BH56" s="123"/>
      <c r="BU56" s="116"/>
      <c r="BV56" s="116"/>
    </row>
    <row r="57" spans="1:74" ht="18.649999999999999" customHeight="1">
      <c r="A57" s="111"/>
      <c r="B57" s="181"/>
      <c r="C57" s="129"/>
      <c r="D57" s="129"/>
      <c r="E57" s="129"/>
      <c r="F57" s="129"/>
      <c r="G57" s="129"/>
      <c r="H57" s="129"/>
      <c r="I57" s="478"/>
      <c r="J57" s="478"/>
      <c r="K57" s="478"/>
      <c r="L57" s="478"/>
      <c r="M57" s="478"/>
      <c r="N57" s="478"/>
      <c r="O57" s="478"/>
      <c r="P57" s="478"/>
      <c r="Q57" s="478"/>
      <c r="R57" s="478"/>
      <c r="S57" s="478"/>
      <c r="T57" s="478"/>
      <c r="U57" s="478"/>
      <c r="V57" s="478"/>
      <c r="W57" s="478"/>
      <c r="X57" s="478"/>
      <c r="Y57" s="134"/>
      <c r="Z57" s="134"/>
      <c r="AA57" s="134"/>
      <c r="AB57" s="134"/>
      <c r="AC57" s="134"/>
      <c r="AD57" s="134"/>
      <c r="AE57" s="478"/>
      <c r="AF57" s="478"/>
      <c r="AG57" s="478"/>
      <c r="AH57" s="478"/>
      <c r="AI57" s="478"/>
      <c r="AJ57" s="478"/>
      <c r="AK57" s="478"/>
      <c r="AL57" s="478"/>
      <c r="AM57" s="478"/>
      <c r="AN57" s="478"/>
      <c r="AO57" s="478"/>
      <c r="AP57" s="478"/>
      <c r="AQ57" s="478"/>
      <c r="AR57" s="478"/>
      <c r="AS57" s="478"/>
      <c r="AT57" s="478"/>
      <c r="AU57" s="122"/>
      <c r="BE57" s="133"/>
      <c r="BF57" s="123"/>
      <c r="BG57" s="123"/>
      <c r="BH57" s="123"/>
      <c r="BU57" s="116"/>
      <c r="BV57" s="116"/>
    </row>
    <row r="58" spans="1:74" ht="18.649999999999999" customHeight="1">
      <c r="A58" s="111"/>
      <c r="B58" s="181"/>
      <c r="C58" s="111"/>
      <c r="D58" s="111"/>
      <c r="E58" s="111"/>
      <c r="F58" s="111"/>
      <c r="G58" s="111"/>
      <c r="H58" s="111"/>
      <c r="I58" s="111"/>
      <c r="J58" s="111"/>
      <c r="K58" s="111"/>
      <c r="L58" s="111"/>
      <c r="M58" s="1136" t="s">
        <v>932</v>
      </c>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22"/>
      <c r="BE58" s="133"/>
      <c r="BF58" s="132"/>
      <c r="BG58" s="132"/>
      <c r="BH58" s="132"/>
      <c r="BU58" s="116"/>
      <c r="BV58" s="116"/>
    </row>
    <row r="59" spans="1:74" ht="18.649999999999999" customHeight="1" thickBot="1">
      <c r="A59" s="111"/>
      <c r="B59" s="181"/>
      <c r="C59" s="111"/>
      <c r="D59" s="111"/>
      <c r="E59" s="111"/>
      <c r="F59" s="111"/>
      <c r="G59" s="111"/>
      <c r="H59" s="111"/>
      <c r="I59" s="111"/>
      <c r="J59" s="111"/>
      <c r="K59" s="111"/>
      <c r="L59" s="111"/>
      <c r="M59" s="1137"/>
      <c r="N59" s="1137"/>
      <c r="O59" s="1137"/>
      <c r="P59" s="1137"/>
      <c r="Q59" s="1137"/>
      <c r="R59" s="1137"/>
      <c r="S59" s="1137"/>
      <c r="T59" s="1137"/>
      <c r="U59" s="1137"/>
      <c r="V59" s="1137"/>
      <c r="W59" s="1137"/>
      <c r="X59" s="1137"/>
      <c r="Y59" s="1137"/>
      <c r="Z59" s="1137"/>
      <c r="AA59" s="1137"/>
      <c r="AB59" s="1137"/>
      <c r="AC59" s="1137"/>
      <c r="AD59" s="1137"/>
      <c r="AE59" s="1137"/>
      <c r="AF59" s="1137"/>
      <c r="AG59" s="1137"/>
      <c r="AH59" s="1137"/>
      <c r="AI59" s="1137"/>
      <c r="AJ59" s="1137"/>
      <c r="AK59" s="1137"/>
      <c r="AL59" s="1137"/>
      <c r="AM59" s="1137"/>
      <c r="AN59" s="1137"/>
      <c r="AO59" s="1137"/>
      <c r="AP59" s="1137"/>
      <c r="AQ59" s="1137"/>
      <c r="AR59" s="1137"/>
      <c r="AS59" s="1137"/>
      <c r="AT59" s="1137"/>
      <c r="AU59" s="122"/>
      <c r="BF59" s="132"/>
      <c r="BG59" s="132"/>
      <c r="BH59" s="132"/>
      <c r="BU59" s="116"/>
      <c r="BV59" s="116"/>
    </row>
    <row r="60" spans="1:74" ht="18" customHeight="1">
      <c r="A60" s="111"/>
      <c r="B60" s="181">
        <f>IF(OR(I60="",AV60="NG",I61="",I64="",AV64="NG",AV66="NG",AV67="NG",AV68="NG",AV71="NG",AV74="NG",I76="",O76="",T76="",I79="",L79="",O79="",R79="",I81="",AV83="NG",AI85="",AM85="",AQ85="",I85="",I87="",AW87="NG",AV87="NG",I89="",Z89="",AG89="",AP89="",AW92="NG",AY93="NG",AV98="NG",AV100="NG",AW98="NG"),1,0)</f>
        <v>1</v>
      </c>
      <c r="C60" s="1168" t="s">
        <v>2026</v>
      </c>
      <c r="D60" s="1169"/>
      <c r="E60" s="1169"/>
      <c r="F60" s="1169"/>
      <c r="G60" s="1169"/>
      <c r="H60" s="1170"/>
      <c r="I60" s="2672"/>
      <c r="J60" s="2673"/>
      <c r="K60" s="2673"/>
      <c r="L60" s="2673"/>
      <c r="M60" s="2673"/>
      <c r="N60" s="2673"/>
      <c r="O60" s="2673"/>
      <c r="P60" s="2673"/>
      <c r="Q60" s="2673"/>
      <c r="R60" s="2673"/>
      <c r="S60" s="2673"/>
      <c r="T60" s="2673"/>
      <c r="U60" s="2673"/>
      <c r="V60" s="2673"/>
      <c r="W60" s="2673"/>
      <c r="X60" s="2673"/>
      <c r="Y60" s="2673"/>
      <c r="Z60" s="2673"/>
      <c r="AA60" s="2673"/>
      <c r="AB60" s="2673"/>
      <c r="AC60" s="2673"/>
      <c r="AD60" s="2673"/>
      <c r="AE60" s="2673"/>
      <c r="AF60" s="2673"/>
      <c r="AG60" s="2673"/>
      <c r="AH60" s="2673"/>
      <c r="AI60" s="2673"/>
      <c r="AJ60" s="2673"/>
      <c r="AK60" s="2673"/>
      <c r="AL60" s="2673"/>
      <c r="AM60" s="2673"/>
      <c r="AN60" s="2673"/>
      <c r="AO60" s="2673"/>
      <c r="AP60" s="2673"/>
      <c r="AQ60" s="2673"/>
      <c r="AR60" s="2673"/>
      <c r="AS60" s="2673"/>
      <c r="AT60" s="2674"/>
      <c r="AU60" s="122"/>
      <c r="AV60" s="508" t="str">
        <f>IF(ISERROR(FIND({"１","２","３","４","５","６","７","８","９","０","1","2","3","4","5","6","7","8","9","0","-","―","－","-","・","！","!","@","&amp;","."},I60)),"OK","NG")</f>
        <v>OK</v>
      </c>
      <c r="BB60" s="133"/>
      <c r="BC60" s="133"/>
      <c r="BD60" s="133"/>
      <c r="BU60" s="116"/>
      <c r="BV60" s="116"/>
    </row>
    <row r="61" spans="1:74" ht="18" customHeight="1">
      <c r="A61" s="111"/>
      <c r="B61" s="181"/>
      <c r="C61" s="1174" t="s">
        <v>2030</v>
      </c>
      <c r="D61" s="1175"/>
      <c r="E61" s="1175"/>
      <c r="F61" s="1175"/>
      <c r="G61" s="1175"/>
      <c r="H61" s="1176"/>
      <c r="I61" s="2638"/>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40"/>
      <c r="AU61" s="122"/>
      <c r="AV61" s="508"/>
      <c r="BB61" s="133"/>
      <c r="BC61" s="133"/>
      <c r="BD61" s="133"/>
      <c r="BU61" s="116"/>
      <c r="BV61" s="116"/>
    </row>
    <row r="62" spans="1:74" ht="18" customHeight="1">
      <c r="A62" s="111"/>
      <c r="B62" s="181"/>
      <c r="C62" s="1150"/>
      <c r="D62" s="1151"/>
      <c r="E62" s="1151"/>
      <c r="F62" s="1151"/>
      <c r="G62" s="1151"/>
      <c r="H62" s="1152"/>
      <c r="I62" s="2641"/>
      <c r="J62" s="2642"/>
      <c r="K62" s="2642"/>
      <c r="L62" s="2642"/>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c r="AS62" s="2642"/>
      <c r="AT62" s="2643"/>
      <c r="AU62" s="122"/>
      <c r="AV62" s="508"/>
      <c r="BA62" s="133"/>
      <c r="BF62" s="123"/>
      <c r="BG62" s="123"/>
      <c r="BH62" s="123"/>
      <c r="BU62" s="116"/>
      <c r="BV62" s="116"/>
    </row>
    <row r="63" spans="1:74" ht="18" customHeight="1">
      <c r="A63" s="111"/>
      <c r="B63" s="181"/>
      <c r="C63" s="1150"/>
      <c r="D63" s="1151"/>
      <c r="E63" s="1151"/>
      <c r="F63" s="1151"/>
      <c r="G63" s="1151"/>
      <c r="H63" s="1152"/>
      <c r="I63" s="1183" t="s">
        <v>2031</v>
      </c>
      <c r="J63" s="1184"/>
      <c r="K63" s="1184"/>
      <c r="L63" s="1184"/>
      <c r="M63" s="1184"/>
      <c r="N63" s="1184"/>
      <c r="O63" s="1184"/>
      <c r="P63" s="1184"/>
      <c r="Q63" s="1184"/>
      <c r="R63" s="1184"/>
      <c r="S63" s="1184"/>
      <c r="T63" s="1184"/>
      <c r="U63" s="1184"/>
      <c r="V63" s="1184"/>
      <c r="W63" s="1184"/>
      <c r="X63" s="1184"/>
      <c r="Y63" s="1184"/>
      <c r="Z63" s="1184"/>
      <c r="AA63" s="1185"/>
      <c r="AB63" s="1186" t="s">
        <v>3819</v>
      </c>
      <c r="AC63" s="1186"/>
      <c r="AD63" s="1186"/>
      <c r="AE63" s="1186"/>
      <c r="AF63" s="1186"/>
      <c r="AG63" s="1186"/>
      <c r="AH63" s="1186"/>
      <c r="AI63" s="1186"/>
      <c r="AJ63" s="1186"/>
      <c r="AK63" s="1186"/>
      <c r="AL63" s="1186"/>
      <c r="AM63" s="1186"/>
      <c r="AN63" s="1186"/>
      <c r="AO63" s="1186"/>
      <c r="AP63" s="1186"/>
      <c r="AQ63" s="1186"/>
      <c r="AR63" s="1186"/>
      <c r="AS63" s="1186"/>
      <c r="AT63" s="1187"/>
      <c r="AU63" s="122"/>
      <c r="AV63" s="508"/>
      <c r="BA63" s="133"/>
      <c r="BF63" s="123"/>
      <c r="BG63" s="123"/>
      <c r="BH63" s="123"/>
      <c r="BU63" s="116"/>
      <c r="BV63" s="116"/>
    </row>
    <row r="64" spans="1:74" ht="18" customHeight="1">
      <c r="A64" s="111"/>
      <c r="B64" s="181"/>
      <c r="C64" s="1150"/>
      <c r="D64" s="1151"/>
      <c r="E64" s="1151"/>
      <c r="F64" s="1151"/>
      <c r="G64" s="1151"/>
      <c r="H64" s="1152"/>
      <c r="I64" s="2678"/>
      <c r="J64" s="2679"/>
      <c r="K64" s="2679"/>
      <c r="L64" s="2679"/>
      <c r="M64" s="2679"/>
      <c r="N64" s="2679"/>
      <c r="O64" s="2679"/>
      <c r="P64" s="2679"/>
      <c r="Q64" s="2679"/>
      <c r="R64" s="2679"/>
      <c r="S64" s="2679"/>
      <c r="T64" s="2679"/>
      <c r="U64" s="2679"/>
      <c r="V64" s="2679"/>
      <c r="W64" s="2679"/>
      <c r="X64" s="2679"/>
      <c r="Y64" s="2679"/>
      <c r="Z64" s="2679"/>
      <c r="AA64" s="2680"/>
      <c r="AB64" s="2684"/>
      <c r="AC64" s="2685"/>
      <c r="AD64" s="2685"/>
      <c r="AE64" s="2685"/>
      <c r="AF64" s="2685"/>
      <c r="AG64" s="2685"/>
      <c r="AH64" s="2685"/>
      <c r="AI64" s="2685"/>
      <c r="AJ64" s="2685"/>
      <c r="AK64" s="2685"/>
      <c r="AL64" s="2685"/>
      <c r="AM64" s="2685"/>
      <c r="AN64" s="2685"/>
      <c r="AO64" s="2685"/>
      <c r="AP64" s="2685"/>
      <c r="AQ64" s="2685"/>
      <c r="AR64" s="2685"/>
      <c r="AS64" s="2685"/>
      <c r="AT64" s="2686"/>
      <c r="AU64" s="122"/>
      <c r="AV64" s="508" t="str">
        <f>IF(AV2=FALSE,"OK",IF(AND(AV2=TRUE,AB64&lt;&gt;""),"OK","NG"))</f>
        <v>OK</v>
      </c>
      <c r="BA64" s="133"/>
      <c r="BF64" s="123"/>
      <c r="BG64" s="123"/>
      <c r="BH64" s="123"/>
      <c r="BU64" s="116"/>
      <c r="BV64" s="116"/>
    </row>
    <row r="65" spans="1:74" ht="18" customHeight="1">
      <c r="A65" s="111"/>
      <c r="B65" s="181"/>
      <c r="C65" s="1167"/>
      <c r="D65" s="1144"/>
      <c r="E65" s="1144"/>
      <c r="F65" s="1144"/>
      <c r="G65" s="1144"/>
      <c r="H65" s="1145"/>
      <c r="I65" s="2681"/>
      <c r="J65" s="2682"/>
      <c r="K65" s="2682"/>
      <c r="L65" s="2682"/>
      <c r="M65" s="2682"/>
      <c r="N65" s="2682"/>
      <c r="O65" s="2682"/>
      <c r="P65" s="2682"/>
      <c r="Q65" s="2682"/>
      <c r="R65" s="2682"/>
      <c r="S65" s="2682"/>
      <c r="T65" s="2682"/>
      <c r="U65" s="2682"/>
      <c r="V65" s="2682"/>
      <c r="W65" s="2682"/>
      <c r="X65" s="2682"/>
      <c r="Y65" s="2682"/>
      <c r="Z65" s="2682"/>
      <c r="AA65" s="2683"/>
      <c r="AB65" s="2684"/>
      <c r="AC65" s="2685"/>
      <c r="AD65" s="2685"/>
      <c r="AE65" s="2685"/>
      <c r="AF65" s="2685"/>
      <c r="AG65" s="2685"/>
      <c r="AH65" s="2685"/>
      <c r="AI65" s="2685"/>
      <c r="AJ65" s="2685"/>
      <c r="AK65" s="2685"/>
      <c r="AL65" s="2685"/>
      <c r="AM65" s="2685"/>
      <c r="AN65" s="2685"/>
      <c r="AO65" s="2685"/>
      <c r="AP65" s="2685"/>
      <c r="AQ65" s="2685"/>
      <c r="AR65" s="2685"/>
      <c r="AS65" s="2685"/>
      <c r="AT65" s="2686"/>
      <c r="AU65" s="122"/>
      <c r="AV65" s="508"/>
      <c r="BF65" s="123"/>
      <c r="BG65" s="123"/>
      <c r="BH65" s="123"/>
      <c r="BU65" s="116"/>
      <c r="BV65" s="116"/>
    </row>
    <row r="66" spans="1:74" ht="18" customHeight="1">
      <c r="A66" s="354"/>
      <c r="B66" s="181"/>
      <c r="C66" s="1245" t="s">
        <v>2099</v>
      </c>
      <c r="D66" s="1246"/>
      <c r="E66" s="1246"/>
      <c r="F66" s="1246"/>
      <c r="G66" s="1246"/>
      <c r="H66" s="1247"/>
      <c r="I66" s="2675"/>
      <c r="J66" s="2676"/>
      <c r="K66" s="2676"/>
      <c r="L66" s="2676"/>
      <c r="M66" s="2676"/>
      <c r="N66" s="2676"/>
      <c r="O66" s="2676"/>
      <c r="P66" s="2676"/>
      <c r="Q66" s="2676"/>
      <c r="R66" s="2676"/>
      <c r="S66" s="2676"/>
      <c r="T66" s="2676"/>
      <c r="U66" s="2676"/>
      <c r="V66" s="2676"/>
      <c r="W66" s="2676"/>
      <c r="X66" s="2676"/>
      <c r="Y66" s="2676"/>
      <c r="Z66" s="2676"/>
      <c r="AA66" s="2677"/>
      <c r="AB66" s="1184" t="s">
        <v>4089</v>
      </c>
      <c r="AC66" s="1184"/>
      <c r="AD66" s="1184"/>
      <c r="AE66" s="1184"/>
      <c r="AF66" s="1184"/>
      <c r="AG66" s="1184"/>
      <c r="AH66" s="1184"/>
      <c r="AI66" s="1184"/>
      <c r="AJ66" s="1184"/>
      <c r="AK66" s="1184"/>
      <c r="AL66" s="1184"/>
      <c r="AM66" s="1184"/>
      <c r="AN66" s="1184"/>
      <c r="AO66" s="1184"/>
      <c r="AP66" s="1184"/>
      <c r="AQ66" s="1184"/>
      <c r="AR66" s="1184"/>
      <c r="AS66" s="1184"/>
      <c r="AT66" s="1396"/>
      <c r="AU66" s="122"/>
      <c r="AV66" s="508" t="str">
        <f>IF(AV5=FALSE,"OK",IF(AND(AV5=TRUE,I66&lt;&gt;""),"OK","NG"))</f>
        <v>OK</v>
      </c>
      <c r="AW66" s="133"/>
      <c r="AX66" s="133"/>
      <c r="AY66" s="133"/>
      <c r="BU66" s="116"/>
      <c r="BV66" s="116"/>
    </row>
    <row r="67" spans="1:74" ht="18" customHeight="1">
      <c r="A67" s="354"/>
      <c r="B67" s="181"/>
      <c r="C67" s="1150" t="s">
        <v>3565</v>
      </c>
      <c r="D67" s="1151"/>
      <c r="E67" s="1151"/>
      <c r="F67" s="1151"/>
      <c r="G67" s="1151"/>
      <c r="H67" s="1152"/>
      <c r="I67" s="2687"/>
      <c r="J67" s="2688"/>
      <c r="K67" s="2688"/>
      <c r="L67" s="2688"/>
      <c r="M67" s="2688"/>
      <c r="N67" s="2688"/>
      <c r="O67" s="2688"/>
      <c r="P67" s="2688"/>
      <c r="Q67" s="2688"/>
      <c r="R67" s="2688"/>
      <c r="S67" s="2688"/>
      <c r="T67" s="2688"/>
      <c r="U67" s="2688"/>
      <c r="V67" s="2688"/>
      <c r="W67" s="2688"/>
      <c r="X67" s="2688"/>
      <c r="Y67" s="2688"/>
      <c r="Z67" s="2688"/>
      <c r="AA67" s="2689"/>
      <c r="AB67" s="2687"/>
      <c r="AC67" s="2688"/>
      <c r="AD67" s="2688"/>
      <c r="AE67" s="2688"/>
      <c r="AF67" s="2688"/>
      <c r="AG67" s="2688"/>
      <c r="AH67" s="2688"/>
      <c r="AI67" s="2688"/>
      <c r="AJ67" s="2688"/>
      <c r="AK67" s="2688"/>
      <c r="AL67" s="2688"/>
      <c r="AM67" s="2688"/>
      <c r="AN67" s="2688"/>
      <c r="AO67" s="2688"/>
      <c r="AP67" s="2688"/>
      <c r="AQ67" s="2688"/>
      <c r="AR67" s="2688"/>
      <c r="AS67" s="2688"/>
      <c r="AT67" s="2691"/>
      <c r="AU67" s="122"/>
      <c r="AV67" s="508" t="str">
        <f>IF(AND(AV2=FALSE,AV3=FALSE,AV6=FALSE),"OK",IF(AND(OR(AV2=TRUE,AV3=TRUE,AV6=TRUE),AB67&lt;&gt;""),"OK","NG"))</f>
        <v>OK</v>
      </c>
      <c r="AX67" s="133"/>
      <c r="AY67" s="133"/>
      <c r="BU67" s="116"/>
      <c r="BV67" s="116"/>
    </row>
    <row r="68" spans="1:74" ht="18" customHeight="1">
      <c r="A68" s="354"/>
      <c r="B68" s="181"/>
      <c r="C68" s="1167"/>
      <c r="D68" s="1144"/>
      <c r="E68" s="1144"/>
      <c r="F68" s="1144"/>
      <c r="G68" s="1144"/>
      <c r="H68" s="1145"/>
      <c r="I68" s="2641"/>
      <c r="J68" s="2642"/>
      <c r="K68" s="2642"/>
      <c r="L68" s="2642"/>
      <c r="M68" s="2642"/>
      <c r="N68" s="2642"/>
      <c r="O68" s="2642"/>
      <c r="P68" s="2642"/>
      <c r="Q68" s="2642"/>
      <c r="R68" s="2642"/>
      <c r="S68" s="2642"/>
      <c r="T68" s="2642"/>
      <c r="U68" s="2642"/>
      <c r="V68" s="2642"/>
      <c r="W68" s="2642"/>
      <c r="X68" s="2642"/>
      <c r="Y68" s="2642"/>
      <c r="Z68" s="2642"/>
      <c r="AA68" s="2690"/>
      <c r="AB68" s="2641"/>
      <c r="AC68" s="2642"/>
      <c r="AD68" s="2642"/>
      <c r="AE68" s="2642"/>
      <c r="AF68" s="2642"/>
      <c r="AG68" s="2642"/>
      <c r="AH68" s="2642"/>
      <c r="AI68" s="2642"/>
      <c r="AJ68" s="2642"/>
      <c r="AK68" s="2642"/>
      <c r="AL68" s="2642"/>
      <c r="AM68" s="2642"/>
      <c r="AN68" s="2642"/>
      <c r="AO68" s="2642"/>
      <c r="AP68" s="2642"/>
      <c r="AQ68" s="2642"/>
      <c r="AR68" s="2642"/>
      <c r="AS68" s="2642"/>
      <c r="AT68" s="2643"/>
      <c r="AU68" s="122"/>
      <c r="AV68" s="114" t="str">
        <f>IF(AV5=FALSE,"OK",IF(AND(AV5=TRUE,I67&lt;&gt;""),"OK","NG"))</f>
        <v>OK</v>
      </c>
      <c r="BU68" s="116"/>
      <c r="BV68" s="116"/>
    </row>
    <row r="69" spans="1:74" ht="18" customHeight="1">
      <c r="A69" s="111"/>
      <c r="B69" s="181"/>
      <c r="C69" s="1197" t="s">
        <v>860</v>
      </c>
      <c r="D69" s="1198"/>
      <c r="E69" s="1198"/>
      <c r="F69" s="1198"/>
      <c r="G69" s="1198"/>
      <c r="H69" s="1199"/>
      <c r="I69" s="724"/>
      <c r="J69" s="1390" t="s">
        <v>818</v>
      </c>
      <c r="K69" s="1390"/>
      <c r="L69" s="1390"/>
      <c r="M69" s="1390"/>
      <c r="N69" s="1390"/>
      <c r="O69" s="1390"/>
      <c r="P69" s="1390"/>
      <c r="Q69" s="1390"/>
      <c r="R69" s="1390"/>
      <c r="S69" s="1390"/>
      <c r="T69" s="1390"/>
      <c r="U69" s="1390"/>
      <c r="V69" s="1390"/>
      <c r="W69" s="1390"/>
      <c r="X69" s="1390"/>
      <c r="Y69" s="1390"/>
      <c r="Z69" s="1390"/>
      <c r="AA69" s="1390"/>
      <c r="AB69" s="1390"/>
      <c r="AC69" s="1390"/>
      <c r="AD69" s="1390"/>
      <c r="AE69" s="1390"/>
      <c r="AF69" s="1390"/>
      <c r="AG69" s="1390"/>
      <c r="AH69" s="1390"/>
      <c r="AI69" s="1390"/>
      <c r="AJ69" s="1390"/>
      <c r="AK69" s="1390"/>
      <c r="AL69" s="1390"/>
      <c r="AM69" s="1390"/>
      <c r="AN69" s="1390"/>
      <c r="AO69" s="1390"/>
      <c r="AP69" s="1390"/>
      <c r="AQ69" s="1390"/>
      <c r="AR69" s="1390"/>
      <c r="AS69" s="1390"/>
      <c r="AT69" s="1391"/>
      <c r="AU69" s="122"/>
      <c r="AV69" s="114" t="b">
        <v>0</v>
      </c>
      <c r="BU69" s="116"/>
      <c r="BV69" s="116"/>
    </row>
    <row r="70" spans="1:74" ht="18" customHeight="1">
      <c r="A70" s="111"/>
      <c r="B70" s="181"/>
      <c r="C70" s="144"/>
      <c r="D70" s="509"/>
      <c r="E70" s="1392" t="s">
        <v>2026</v>
      </c>
      <c r="F70" s="1246"/>
      <c r="G70" s="1246"/>
      <c r="H70" s="1247"/>
      <c r="I70" s="397"/>
      <c r="J70" s="1248" t="str">
        <f>VLOOKUP(I72,BO2:BP49,2,FALSE)</f>
        <v>（自動表示）</v>
      </c>
      <c r="K70" s="1248"/>
      <c r="L70" s="1248"/>
      <c r="M70" s="1249"/>
      <c r="N70" s="503" t="s">
        <v>2029</v>
      </c>
      <c r="O70" s="1285"/>
      <c r="P70" s="1285"/>
      <c r="Q70" s="1285"/>
      <c r="R70" s="1285"/>
      <c r="S70" s="1285"/>
      <c r="T70" s="1285"/>
      <c r="U70" s="1286"/>
      <c r="V70" s="503"/>
      <c r="W70" s="1285"/>
      <c r="X70" s="1285"/>
      <c r="Y70" s="1285"/>
      <c r="Z70" s="1285"/>
      <c r="AA70" s="1285"/>
      <c r="AB70" s="1285"/>
      <c r="AC70" s="1286"/>
      <c r="AD70" s="503"/>
      <c r="AE70" s="1285"/>
      <c r="AF70" s="1285"/>
      <c r="AG70" s="1285"/>
      <c r="AH70" s="1285"/>
      <c r="AI70" s="1285"/>
      <c r="AJ70" s="1285"/>
      <c r="AK70" s="1286"/>
      <c r="AL70" s="503"/>
      <c r="AM70" s="1287"/>
      <c r="AN70" s="1287"/>
      <c r="AO70" s="1287"/>
      <c r="AP70" s="1287"/>
      <c r="AQ70" s="1287"/>
      <c r="AR70" s="1287"/>
      <c r="AS70" s="1287"/>
      <c r="AT70" s="1288"/>
      <c r="AU70" s="122"/>
      <c r="AV70" s="508" t="str">
        <f>IF(ISERROR(FIND({"１","２","３","４","５","６","７","８","９","０","1","2","3","4","5","6","7","8","9","0","-","―","－","-","・","！","!","@","&amp;","."},O70&amp;W70&amp;AE70&amp;AM70)),"OK","NG")</f>
        <v>OK</v>
      </c>
      <c r="BU70" s="116"/>
      <c r="BV70" s="116"/>
    </row>
    <row r="71" spans="1:74" ht="18" customHeight="1">
      <c r="A71" s="111"/>
      <c r="B71" s="181"/>
      <c r="C71" s="144"/>
      <c r="D71" s="509"/>
      <c r="E71" s="1401" t="s">
        <v>819</v>
      </c>
      <c r="F71" s="1388"/>
      <c r="G71" s="1388"/>
      <c r="H71" s="1389"/>
      <c r="I71" s="504" t="s">
        <v>2027</v>
      </c>
      <c r="J71" s="1313"/>
      <c r="K71" s="1313"/>
      <c r="L71" s="505" t="s">
        <v>2028</v>
      </c>
      <c r="M71" s="1314"/>
      <c r="N71" s="1314"/>
      <c r="O71" s="505"/>
      <c r="P71" s="505"/>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7"/>
      <c r="AU71" s="122"/>
      <c r="AV71" s="508" t="str">
        <f>IF(AND(AV69=FALSE,OR(O70="",W70="",AE70="",J71="",M71="",I72="",N72="",V72="",AD72)),"NG","OK")</f>
        <v>NG</v>
      </c>
      <c r="BU71" s="116"/>
      <c r="BV71" s="116"/>
    </row>
    <row r="72" spans="1:74" ht="18" customHeight="1">
      <c r="A72" s="111"/>
      <c r="B72" s="181"/>
      <c r="C72" s="144"/>
      <c r="D72" s="509"/>
      <c r="E72" s="1280"/>
      <c r="F72" s="1201"/>
      <c r="G72" s="1201"/>
      <c r="H72" s="1202"/>
      <c r="I72" s="1315" t="s">
        <v>777</v>
      </c>
      <c r="J72" s="1316"/>
      <c r="K72" s="1316"/>
      <c r="L72" s="1316"/>
      <c r="M72" s="1316"/>
      <c r="N72" s="1289"/>
      <c r="O72" s="1289"/>
      <c r="P72" s="1289"/>
      <c r="Q72" s="1289"/>
      <c r="R72" s="1289"/>
      <c r="S72" s="1289"/>
      <c r="T72" s="1289"/>
      <c r="U72" s="1289"/>
      <c r="V72" s="1289"/>
      <c r="W72" s="1289"/>
      <c r="X72" s="1289"/>
      <c r="Y72" s="1289"/>
      <c r="Z72" s="1289"/>
      <c r="AA72" s="1289"/>
      <c r="AB72" s="1289"/>
      <c r="AC72" s="1289"/>
      <c r="AD72" s="1289"/>
      <c r="AE72" s="1289"/>
      <c r="AF72" s="1289"/>
      <c r="AG72" s="1289"/>
      <c r="AH72" s="1289"/>
      <c r="AI72" s="1289"/>
      <c r="AJ72" s="1289"/>
      <c r="AK72" s="1289"/>
      <c r="AL72" s="1289"/>
      <c r="AM72" s="1289"/>
      <c r="AN72" s="1289"/>
      <c r="AO72" s="1289"/>
      <c r="AP72" s="1289"/>
      <c r="AQ72" s="1289"/>
      <c r="AR72" s="1289"/>
      <c r="AS72" s="1289"/>
      <c r="AT72" s="2670"/>
      <c r="AU72" s="122"/>
      <c r="AV72" s="508" t="str">
        <f>LEFT(I72,2)</f>
        <v>00</v>
      </c>
      <c r="AW72" s="114" t="str">
        <f>MID(I72,4,LEN(I72)-3)</f>
        <v>選択して下さい</v>
      </c>
      <c r="BU72" s="116"/>
      <c r="BV72" s="116"/>
    </row>
    <row r="73" spans="1:74" ht="18" customHeight="1">
      <c r="A73" s="111"/>
      <c r="B73" s="181"/>
      <c r="C73" s="144"/>
      <c r="D73" s="509"/>
      <c r="E73" s="1281"/>
      <c r="F73" s="1243"/>
      <c r="G73" s="1243"/>
      <c r="H73" s="1244"/>
      <c r="I73" s="1317"/>
      <c r="J73" s="1318"/>
      <c r="K73" s="1318"/>
      <c r="L73" s="1318"/>
      <c r="M73" s="1318"/>
      <c r="N73" s="1290"/>
      <c r="O73" s="1290"/>
      <c r="P73" s="1290"/>
      <c r="Q73" s="1290"/>
      <c r="R73" s="1290"/>
      <c r="S73" s="1290"/>
      <c r="T73" s="1290"/>
      <c r="U73" s="1290"/>
      <c r="V73" s="1290"/>
      <c r="W73" s="1290"/>
      <c r="X73" s="1290"/>
      <c r="Y73" s="1290"/>
      <c r="Z73" s="1290"/>
      <c r="AA73" s="1290"/>
      <c r="AB73" s="1290"/>
      <c r="AC73" s="1290"/>
      <c r="AD73" s="1290"/>
      <c r="AE73" s="1290"/>
      <c r="AF73" s="1290"/>
      <c r="AG73" s="1290"/>
      <c r="AH73" s="1290"/>
      <c r="AI73" s="1290"/>
      <c r="AJ73" s="1290"/>
      <c r="AK73" s="1290"/>
      <c r="AL73" s="1290"/>
      <c r="AM73" s="1290"/>
      <c r="AN73" s="1290"/>
      <c r="AO73" s="1290"/>
      <c r="AP73" s="1290"/>
      <c r="AQ73" s="1290"/>
      <c r="AR73" s="1290"/>
      <c r="AS73" s="1290"/>
      <c r="AT73" s="2671"/>
      <c r="AU73" s="122"/>
      <c r="AV73" s="694" t="str">
        <f>IF(AV69=TRUE,AV36,AV72)</f>
        <v>00</v>
      </c>
      <c r="AW73" s="512" t="str">
        <f>VLOOKUP(AV73,BQ2:BR49,2,FALSE)</f>
        <v/>
      </c>
      <c r="BU73" s="116"/>
      <c r="BV73" s="116"/>
    </row>
    <row r="74" spans="1:74" ht="18" hidden="1" customHeight="1">
      <c r="A74" s="354" t="s">
        <v>2260</v>
      </c>
      <c r="B74" s="181"/>
      <c r="C74" s="144"/>
      <c r="D74" s="509"/>
      <c r="E74" s="1279" t="s">
        <v>2032</v>
      </c>
      <c r="F74" s="1165"/>
      <c r="G74" s="1165"/>
      <c r="H74" s="1166"/>
      <c r="I74" s="1275" t="s">
        <v>2261</v>
      </c>
      <c r="J74" s="1276"/>
      <c r="K74" s="1276"/>
      <c r="L74" s="1276"/>
      <c r="M74" s="1276"/>
      <c r="N74" s="1276"/>
      <c r="O74" s="1276"/>
      <c r="P74" s="1276"/>
      <c r="Q74" s="1276"/>
      <c r="R74" s="1276"/>
      <c r="S74" s="1276"/>
      <c r="T74" s="1276"/>
      <c r="U74" s="1276"/>
      <c r="V74" s="1276"/>
      <c r="W74" s="1276"/>
      <c r="X74" s="1276"/>
      <c r="Y74" s="1276"/>
      <c r="Z74" s="1276"/>
      <c r="AA74" s="1276"/>
      <c r="AB74" s="1276"/>
      <c r="AC74" s="1276"/>
      <c r="AD74" s="1276"/>
      <c r="AE74" s="1276"/>
      <c r="AF74" s="1276"/>
      <c r="AG74" s="1276"/>
      <c r="AH74" s="1276"/>
      <c r="AI74" s="1276"/>
      <c r="AJ74" s="1276"/>
      <c r="AK74" s="1276"/>
      <c r="AL74" s="1276"/>
      <c r="AM74" s="1276"/>
      <c r="AN74" s="1276"/>
      <c r="AO74" s="1276"/>
      <c r="AP74" s="1276"/>
      <c r="AQ74" s="1276"/>
      <c r="AR74" s="1276"/>
      <c r="AS74" s="1276"/>
      <c r="AT74" s="1399"/>
      <c r="AU74" s="122"/>
      <c r="AV74" s="508" t="str">
        <f>IF(AV2=FALSE,"OK",IF(AND(AV2=TRUE,I74&lt;&gt;""),"OK","NG"))</f>
        <v>OK</v>
      </c>
      <c r="BU74" s="116"/>
      <c r="BV74" s="116"/>
    </row>
    <row r="75" spans="1:74" ht="18" hidden="1" customHeight="1">
      <c r="A75" s="354" t="s">
        <v>2260</v>
      </c>
      <c r="B75" s="181"/>
      <c r="C75" s="145"/>
      <c r="D75" s="510"/>
      <c r="E75" s="1143"/>
      <c r="F75" s="1144"/>
      <c r="G75" s="1144"/>
      <c r="H75" s="1145"/>
      <c r="I75" s="1277"/>
      <c r="J75" s="1278"/>
      <c r="K75" s="1278"/>
      <c r="L75" s="1278"/>
      <c r="M75" s="1278"/>
      <c r="N75" s="1278"/>
      <c r="O75" s="1278"/>
      <c r="P75" s="1278"/>
      <c r="Q75" s="1278"/>
      <c r="R75" s="1278"/>
      <c r="S75" s="1278"/>
      <c r="T75" s="1278"/>
      <c r="U75" s="1278"/>
      <c r="V75" s="1278"/>
      <c r="W75" s="1278"/>
      <c r="X75" s="1278"/>
      <c r="Y75" s="1278"/>
      <c r="Z75" s="1278"/>
      <c r="AA75" s="1278"/>
      <c r="AB75" s="1278"/>
      <c r="AC75" s="1278"/>
      <c r="AD75" s="1278"/>
      <c r="AE75" s="1278"/>
      <c r="AF75" s="1278"/>
      <c r="AG75" s="1278"/>
      <c r="AH75" s="1278"/>
      <c r="AI75" s="1278"/>
      <c r="AJ75" s="1278"/>
      <c r="AK75" s="1278"/>
      <c r="AL75" s="1278"/>
      <c r="AM75" s="1278"/>
      <c r="AN75" s="1278"/>
      <c r="AO75" s="1278"/>
      <c r="AP75" s="1278"/>
      <c r="AQ75" s="1278"/>
      <c r="AR75" s="1278"/>
      <c r="AS75" s="1278"/>
      <c r="AT75" s="1400"/>
      <c r="AU75" s="122"/>
      <c r="AV75" s="508"/>
      <c r="BU75" s="116"/>
      <c r="BV75" s="116"/>
    </row>
    <row r="76" spans="1:74" ht="18" customHeight="1">
      <c r="A76" s="111"/>
      <c r="B76" s="181"/>
      <c r="C76" s="1295" t="s">
        <v>820</v>
      </c>
      <c r="D76" s="1296"/>
      <c r="E76" s="1296"/>
      <c r="F76" s="1296"/>
      <c r="G76" s="1296"/>
      <c r="H76" s="1297"/>
      <c r="I76" s="1298"/>
      <c r="J76" s="1299"/>
      <c r="K76" s="1299"/>
      <c r="L76" s="1299"/>
      <c r="M76" s="1299"/>
      <c r="N76" s="350" t="s">
        <v>1231</v>
      </c>
      <c r="O76" s="1299"/>
      <c r="P76" s="1299"/>
      <c r="Q76" s="1299"/>
      <c r="R76" s="1299"/>
      <c r="S76" s="350" t="s">
        <v>1232</v>
      </c>
      <c r="T76" s="1299"/>
      <c r="U76" s="1299"/>
      <c r="V76" s="1299"/>
      <c r="W76" s="1299"/>
      <c r="X76" s="1300"/>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3"/>
      <c r="AU76" s="122"/>
      <c r="AV76" s="114" t="str">
        <f>IF(AND(I76&lt;&gt;"",O76&lt;&gt;"",T76&lt;&gt;""),IF(LENB(I76)+LENB(O76)+LENB(T76)&lt;13,"OK","NG"),"OK")</f>
        <v>OK</v>
      </c>
      <c r="BU76" s="116"/>
      <c r="BV76" s="116"/>
    </row>
    <row r="77" spans="1:74" ht="18" customHeight="1">
      <c r="A77" s="111"/>
      <c r="B77" s="181"/>
      <c r="C77" s="1327" t="s">
        <v>821</v>
      </c>
      <c r="D77" s="1141"/>
      <c r="E77" s="1141"/>
      <c r="F77" s="1141"/>
      <c r="G77" s="1141"/>
      <c r="H77" s="1142"/>
      <c r="I77" s="1402"/>
      <c r="J77" s="1403"/>
      <c r="K77" s="1403"/>
      <c r="L77" s="1403"/>
      <c r="M77" s="1403"/>
      <c r="N77" s="1403"/>
      <c r="O77" s="1403"/>
      <c r="P77" s="1403"/>
      <c r="Q77" s="1403"/>
      <c r="R77" s="1403"/>
      <c r="S77" s="1403"/>
      <c r="T77" s="1403"/>
      <c r="U77" s="1403"/>
      <c r="V77" s="1403"/>
      <c r="W77" s="1403"/>
      <c r="X77" s="1403"/>
      <c r="Y77" s="1403"/>
      <c r="Z77" s="1403"/>
      <c r="AA77" s="1403"/>
      <c r="AB77" s="1403"/>
      <c r="AC77" s="1403"/>
      <c r="AD77" s="1403"/>
      <c r="AE77" s="1403"/>
      <c r="AF77" s="1403"/>
      <c r="AG77" s="1403"/>
      <c r="AH77" s="1403"/>
      <c r="AI77" s="1403"/>
      <c r="AJ77" s="1403"/>
      <c r="AK77" s="1403"/>
      <c r="AL77" s="1403"/>
      <c r="AM77" s="1403"/>
      <c r="AN77" s="1403"/>
      <c r="AO77" s="1403"/>
      <c r="AP77" s="1403"/>
      <c r="AQ77" s="1403"/>
      <c r="AR77" s="1403"/>
      <c r="AS77" s="1403"/>
      <c r="AT77" s="1404"/>
      <c r="AU77" s="122"/>
      <c r="BE77" s="311"/>
      <c r="BF77" s="312"/>
      <c r="BG77" s="313"/>
      <c r="BH77" s="313"/>
      <c r="BI77" s="313"/>
      <c r="BU77" s="116"/>
      <c r="BV77" s="116"/>
    </row>
    <row r="78" spans="1:74" ht="18" customHeight="1">
      <c r="A78" s="111"/>
      <c r="B78" s="181"/>
      <c r="C78" s="1167"/>
      <c r="D78" s="1144"/>
      <c r="E78" s="1144"/>
      <c r="F78" s="1144"/>
      <c r="G78" s="1144"/>
      <c r="H78" s="1145"/>
      <c r="I78" s="1405"/>
      <c r="J78" s="1406"/>
      <c r="K78" s="1406"/>
      <c r="L78" s="1406"/>
      <c r="M78" s="1406"/>
      <c r="N78" s="1406"/>
      <c r="O78" s="1406"/>
      <c r="P78" s="1406"/>
      <c r="Q78" s="1406"/>
      <c r="R78" s="1406"/>
      <c r="S78" s="1406"/>
      <c r="T78" s="1406"/>
      <c r="U78" s="1406"/>
      <c r="V78" s="1406"/>
      <c r="W78" s="1406"/>
      <c r="X78" s="1406"/>
      <c r="Y78" s="1406"/>
      <c r="Z78" s="1406"/>
      <c r="AA78" s="1406"/>
      <c r="AB78" s="1406"/>
      <c r="AC78" s="1406"/>
      <c r="AD78" s="1406"/>
      <c r="AE78" s="1406"/>
      <c r="AF78" s="1406"/>
      <c r="AG78" s="1406"/>
      <c r="AH78" s="1406"/>
      <c r="AI78" s="1406"/>
      <c r="AJ78" s="1406"/>
      <c r="AK78" s="1406"/>
      <c r="AL78" s="1406"/>
      <c r="AM78" s="1406"/>
      <c r="AN78" s="1406"/>
      <c r="AO78" s="1406"/>
      <c r="AP78" s="1406"/>
      <c r="AQ78" s="1406"/>
      <c r="AR78" s="1406"/>
      <c r="AS78" s="1406"/>
      <c r="AT78" s="1407"/>
      <c r="AU78" s="122"/>
      <c r="BU78" s="116"/>
      <c r="BV78" s="116"/>
    </row>
    <row r="79" spans="1:74" ht="18.649999999999999" customHeight="1">
      <c r="A79" s="111"/>
      <c r="B79" s="181"/>
      <c r="C79" s="1327" t="s">
        <v>822</v>
      </c>
      <c r="D79" s="1141"/>
      <c r="E79" s="1141"/>
      <c r="F79" s="1141"/>
      <c r="G79" s="1141"/>
      <c r="H79" s="1142"/>
      <c r="I79" s="1408"/>
      <c r="J79" s="1409"/>
      <c r="K79" s="1412" t="s">
        <v>823</v>
      </c>
      <c r="L79" s="1403"/>
      <c r="M79" s="1403"/>
      <c r="N79" s="1412" t="s">
        <v>824</v>
      </c>
      <c r="O79" s="1409"/>
      <c r="P79" s="1409"/>
      <c r="Q79" s="1412" t="s">
        <v>823</v>
      </c>
      <c r="R79" s="1403"/>
      <c r="S79" s="1414"/>
      <c r="T79" s="1140" t="s">
        <v>825</v>
      </c>
      <c r="U79" s="1141"/>
      <c r="V79" s="1141"/>
      <c r="W79" s="1141"/>
      <c r="X79" s="1141"/>
      <c r="Y79" s="1142"/>
      <c r="Z79" s="1138" t="s">
        <v>826</v>
      </c>
      <c r="AA79" s="1138"/>
      <c r="AB79" s="1138" t="s">
        <v>827</v>
      </c>
      <c r="AC79" s="1138"/>
      <c r="AD79" s="1138" t="s">
        <v>828</v>
      </c>
      <c r="AE79" s="1138"/>
      <c r="AF79" s="1138" t="s">
        <v>829</v>
      </c>
      <c r="AG79" s="1138"/>
      <c r="AH79" s="1138" t="s">
        <v>830</v>
      </c>
      <c r="AI79" s="1138"/>
      <c r="AJ79" s="1138" t="s">
        <v>831</v>
      </c>
      <c r="AK79" s="1138"/>
      <c r="AL79" s="1138" t="s">
        <v>832</v>
      </c>
      <c r="AM79" s="1138"/>
      <c r="AN79" s="1138" t="s">
        <v>833</v>
      </c>
      <c r="AO79" s="1138"/>
      <c r="AP79" s="198"/>
      <c r="AQ79" s="198"/>
      <c r="AR79" s="198"/>
      <c r="AS79" s="198"/>
      <c r="AT79" s="199"/>
      <c r="AU79" s="122"/>
      <c r="AV79" s="197" t="str">
        <f>IF(AV80=TRUE,"月","")</f>
        <v/>
      </c>
      <c r="AW79" s="197" t="str">
        <f>IF(AW80=TRUE,"火","")</f>
        <v/>
      </c>
      <c r="AX79" s="197" t="str">
        <f>IF(AX80=TRUE,"水","")</f>
        <v/>
      </c>
      <c r="AY79" s="197" t="str">
        <f>IF(AY80=TRUE,"木","")</f>
        <v/>
      </c>
      <c r="AZ79" s="197" t="str">
        <f>IF(AZ80=TRUE,"金","")</f>
        <v/>
      </c>
      <c r="BA79" s="197" t="str">
        <f>IF(BA80=TRUE,"土","")</f>
        <v/>
      </c>
      <c r="BB79" s="197" t="str">
        <f>IF(BB80=TRUE,"日","")</f>
        <v/>
      </c>
      <c r="BC79" s="197" t="str">
        <f>IF(BC80=TRUE,"祝","")</f>
        <v/>
      </c>
      <c r="BD79" s="114" t="str">
        <f>AV79&amp;AW79&amp;AX79&amp;AY79&amp;AZ79&amp;BA79&amp;BB79&amp;BC79</f>
        <v/>
      </c>
      <c r="BU79" s="116"/>
      <c r="BV79" s="116"/>
    </row>
    <row r="80" spans="1:74" ht="18.649999999999999" customHeight="1">
      <c r="A80" s="111"/>
      <c r="B80" s="181"/>
      <c r="C80" s="1167"/>
      <c r="D80" s="1144"/>
      <c r="E80" s="1144"/>
      <c r="F80" s="1144"/>
      <c r="G80" s="1144"/>
      <c r="H80" s="1145"/>
      <c r="I80" s="1410"/>
      <c r="J80" s="1411"/>
      <c r="K80" s="1413"/>
      <c r="L80" s="1406"/>
      <c r="M80" s="1406"/>
      <c r="N80" s="1413"/>
      <c r="O80" s="1411"/>
      <c r="P80" s="1411"/>
      <c r="Q80" s="1413"/>
      <c r="R80" s="1406"/>
      <c r="S80" s="1415"/>
      <c r="T80" s="1143"/>
      <c r="U80" s="1144"/>
      <c r="V80" s="1144"/>
      <c r="W80" s="1144"/>
      <c r="X80" s="1144"/>
      <c r="Y80" s="1145"/>
      <c r="Z80" s="1416"/>
      <c r="AA80" s="1416"/>
      <c r="AB80" s="1416"/>
      <c r="AC80" s="1416"/>
      <c r="AD80" s="1416"/>
      <c r="AE80" s="1416"/>
      <c r="AF80" s="1416"/>
      <c r="AG80" s="1416"/>
      <c r="AH80" s="1139"/>
      <c r="AI80" s="1139"/>
      <c r="AJ80" s="1139" t="s">
        <v>2018</v>
      </c>
      <c r="AK80" s="1139"/>
      <c r="AL80" s="1139"/>
      <c r="AM80" s="1139"/>
      <c r="AN80" s="1139"/>
      <c r="AO80" s="1139"/>
      <c r="AP80" s="200"/>
      <c r="AQ80" s="200"/>
      <c r="AR80" s="200"/>
      <c r="AS80" s="200"/>
      <c r="AT80" s="201"/>
      <c r="AU80" s="122"/>
      <c r="AV80" s="114" t="b">
        <v>0</v>
      </c>
      <c r="AW80" s="114" t="b">
        <v>0</v>
      </c>
      <c r="AX80" s="114" t="b">
        <v>0</v>
      </c>
      <c r="AY80" s="114" t="b">
        <v>0</v>
      </c>
      <c r="AZ80" s="114" t="b">
        <v>0</v>
      </c>
      <c r="BA80" s="114" t="b">
        <v>0</v>
      </c>
      <c r="BB80" s="114" t="b">
        <v>0</v>
      </c>
      <c r="BC80" s="114" t="b">
        <v>0</v>
      </c>
      <c r="BD80" s="202" t="str">
        <f>I79&amp;K79&amp;L79&amp;N79&amp;O79&amp;Q79&amp;R79&amp;"  休業日"&amp;"（"&amp;BD79&amp;"）"</f>
        <v>：～：  休業日（）</v>
      </c>
      <c r="BE80" s="203"/>
      <c r="BF80" s="202"/>
      <c r="BG80" s="202"/>
      <c r="BH80" s="202"/>
      <c r="BI80" s="202"/>
      <c r="BU80" s="116"/>
      <c r="BV80" s="116"/>
    </row>
    <row r="81" spans="1:74" ht="18.649999999999999" customHeight="1">
      <c r="A81" s="113"/>
      <c r="B81" s="181"/>
      <c r="C81" s="1327" t="s">
        <v>835</v>
      </c>
      <c r="D81" s="1141"/>
      <c r="E81" s="1141"/>
      <c r="F81" s="1141"/>
      <c r="G81" s="1141"/>
      <c r="H81" s="1142"/>
      <c r="I81" s="2698"/>
      <c r="J81" s="2699"/>
      <c r="K81" s="2699"/>
      <c r="L81" s="2699"/>
      <c r="M81" s="2699"/>
      <c r="N81" s="2699"/>
      <c r="O81" s="2699"/>
      <c r="P81" s="2699"/>
      <c r="Q81" s="2699"/>
      <c r="R81" s="2699"/>
      <c r="S81" s="2699"/>
      <c r="T81" s="2699"/>
      <c r="U81" s="2699"/>
      <c r="V81" s="2699"/>
      <c r="W81" s="2699"/>
      <c r="X81" s="2699"/>
      <c r="Y81" s="2699"/>
      <c r="Z81" s="2699"/>
      <c r="AA81" s="2699"/>
      <c r="AB81" s="2699"/>
      <c r="AC81" s="2699"/>
      <c r="AD81" s="2699"/>
      <c r="AE81" s="2699"/>
      <c r="AF81" s="2699"/>
      <c r="AG81" s="2699"/>
      <c r="AH81" s="2699"/>
      <c r="AI81" s="2699"/>
      <c r="AJ81" s="2699"/>
      <c r="AK81" s="2699"/>
      <c r="AL81" s="2699"/>
      <c r="AM81" s="2699"/>
      <c r="AN81" s="2699"/>
      <c r="AO81" s="2699"/>
      <c r="AP81" s="2699"/>
      <c r="AQ81" s="2699"/>
      <c r="AR81" s="2699"/>
      <c r="AS81" s="2699"/>
      <c r="AT81" s="2700"/>
      <c r="AU81" s="122"/>
      <c r="BU81" s="116"/>
      <c r="BV81" s="116"/>
    </row>
    <row r="82" spans="1:74" ht="18.649999999999999" customHeight="1">
      <c r="A82" s="113"/>
      <c r="B82" s="181"/>
      <c r="C82" s="1167"/>
      <c r="D82" s="1144"/>
      <c r="E82" s="1144"/>
      <c r="F82" s="1144"/>
      <c r="G82" s="1144"/>
      <c r="H82" s="1145"/>
      <c r="I82" s="2701"/>
      <c r="J82" s="2702"/>
      <c r="K82" s="2702"/>
      <c r="L82" s="2702"/>
      <c r="M82" s="2702"/>
      <c r="N82" s="2702"/>
      <c r="O82" s="2702"/>
      <c r="P82" s="2702"/>
      <c r="Q82" s="2702"/>
      <c r="R82" s="2702"/>
      <c r="S82" s="2702"/>
      <c r="T82" s="2702"/>
      <c r="U82" s="2702"/>
      <c r="V82" s="2702"/>
      <c r="W82" s="2702"/>
      <c r="X82" s="2702"/>
      <c r="Y82" s="2702"/>
      <c r="Z82" s="2702"/>
      <c r="AA82" s="2702"/>
      <c r="AB82" s="2702"/>
      <c r="AC82" s="2702"/>
      <c r="AD82" s="2702"/>
      <c r="AE82" s="2702"/>
      <c r="AF82" s="2702"/>
      <c r="AG82" s="2702"/>
      <c r="AH82" s="2702"/>
      <c r="AI82" s="2702"/>
      <c r="AJ82" s="2702"/>
      <c r="AK82" s="2702"/>
      <c r="AL82" s="2702"/>
      <c r="AM82" s="2702"/>
      <c r="AN82" s="2702"/>
      <c r="AO82" s="2702"/>
      <c r="AP82" s="2702"/>
      <c r="AQ82" s="2702"/>
      <c r="AR82" s="2702"/>
      <c r="AS82" s="2702"/>
      <c r="AT82" s="2703"/>
      <c r="AU82" s="122"/>
      <c r="BU82" s="116"/>
      <c r="BV82" s="116"/>
    </row>
    <row r="83" spans="1:74" ht="18.649999999999999" customHeight="1">
      <c r="A83" s="113"/>
      <c r="B83" s="181"/>
      <c r="C83" s="1423" t="s">
        <v>3566</v>
      </c>
      <c r="D83" s="1424"/>
      <c r="E83" s="1424"/>
      <c r="F83" s="1424"/>
      <c r="G83" s="1424"/>
      <c r="H83" s="1425"/>
      <c r="I83" s="2692"/>
      <c r="J83" s="2693"/>
      <c r="K83" s="2693"/>
      <c r="L83" s="2693"/>
      <c r="M83" s="2693"/>
      <c r="N83" s="2693"/>
      <c r="O83" s="2693"/>
      <c r="P83" s="2693"/>
      <c r="Q83" s="2693"/>
      <c r="R83" s="2693"/>
      <c r="S83" s="2693"/>
      <c r="T83" s="2693"/>
      <c r="U83" s="2693"/>
      <c r="V83" s="2693"/>
      <c r="W83" s="2693"/>
      <c r="X83" s="2693"/>
      <c r="Y83" s="2693"/>
      <c r="Z83" s="2693"/>
      <c r="AA83" s="2693"/>
      <c r="AB83" s="2693"/>
      <c r="AC83" s="2693"/>
      <c r="AD83" s="2693"/>
      <c r="AE83" s="2693"/>
      <c r="AF83" s="2693"/>
      <c r="AG83" s="2693"/>
      <c r="AH83" s="2693"/>
      <c r="AI83" s="2693"/>
      <c r="AJ83" s="2693"/>
      <c r="AK83" s="2693"/>
      <c r="AL83" s="2693"/>
      <c r="AM83" s="2693"/>
      <c r="AN83" s="2693"/>
      <c r="AO83" s="2693"/>
      <c r="AP83" s="2693"/>
      <c r="AQ83" s="2693"/>
      <c r="AR83" s="2693"/>
      <c r="AS83" s="2693"/>
      <c r="AT83" s="2694"/>
      <c r="AU83" s="122"/>
      <c r="AV83" s="508" t="str">
        <f>IF(AV2=FALSE,"OK",IF(AND(AV2=TRUE,I83&lt;&gt;""),"OK","NG"))</f>
        <v>OK</v>
      </c>
      <c r="BU83" s="116"/>
      <c r="BV83" s="116"/>
    </row>
    <row r="84" spans="1:74" ht="18.649999999999999" customHeight="1">
      <c r="A84" s="113"/>
      <c r="B84" s="181"/>
      <c r="C84" s="1423"/>
      <c r="D84" s="1424"/>
      <c r="E84" s="1424"/>
      <c r="F84" s="1424"/>
      <c r="G84" s="1424"/>
      <c r="H84" s="1425"/>
      <c r="I84" s="2695"/>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c r="AJ84" s="2696"/>
      <c r="AK84" s="2696"/>
      <c r="AL84" s="2696"/>
      <c r="AM84" s="2696"/>
      <c r="AN84" s="2696"/>
      <c r="AO84" s="2696"/>
      <c r="AP84" s="2696"/>
      <c r="AQ84" s="2696"/>
      <c r="AR84" s="2696"/>
      <c r="AS84" s="2696"/>
      <c r="AT84" s="2697"/>
      <c r="AU84" s="122"/>
      <c r="AV84" s="508"/>
      <c r="BS84" s="224"/>
      <c r="BU84" s="116"/>
      <c r="BV84" s="116"/>
    </row>
    <row r="85" spans="1:74" ht="18.649999999999999" customHeight="1">
      <c r="A85" s="113"/>
      <c r="B85" s="181"/>
      <c r="C85" s="1164" t="s">
        <v>1087</v>
      </c>
      <c r="D85" s="1165"/>
      <c r="E85" s="1165"/>
      <c r="F85" s="1165"/>
      <c r="G85" s="1165"/>
      <c r="H85" s="1166"/>
      <c r="I85" s="1432"/>
      <c r="J85" s="1433"/>
      <c r="K85" s="1433"/>
      <c r="L85" s="1433"/>
      <c r="M85" s="1433"/>
      <c r="N85" s="1433"/>
      <c r="O85" s="1433"/>
      <c r="P85" s="1433"/>
      <c r="Q85" s="1433"/>
      <c r="R85" s="1433"/>
      <c r="S85" s="1433"/>
      <c r="T85" s="1433"/>
      <c r="U85" s="1433"/>
      <c r="V85" s="1433"/>
      <c r="W85" s="1433"/>
      <c r="X85" s="1433"/>
      <c r="Y85" s="1433"/>
      <c r="Z85" s="1433"/>
      <c r="AA85" s="1434"/>
      <c r="AB85" s="1158" t="s">
        <v>1092</v>
      </c>
      <c r="AC85" s="1159"/>
      <c r="AD85" s="1159"/>
      <c r="AE85" s="1159"/>
      <c r="AF85" s="1160"/>
      <c r="AG85" s="1148" t="s">
        <v>1091</v>
      </c>
      <c r="AH85" s="1148"/>
      <c r="AI85" s="1146"/>
      <c r="AJ85" s="1146"/>
      <c r="AK85" s="1148" t="s">
        <v>1090</v>
      </c>
      <c r="AL85" s="1148"/>
      <c r="AM85" s="1146"/>
      <c r="AN85" s="1146"/>
      <c r="AO85" s="1148" t="s">
        <v>1089</v>
      </c>
      <c r="AP85" s="1148"/>
      <c r="AQ85" s="1146"/>
      <c r="AR85" s="1146"/>
      <c r="AS85" s="1148" t="s">
        <v>1088</v>
      </c>
      <c r="AT85" s="1436"/>
      <c r="AU85" s="122"/>
      <c r="BU85" s="116"/>
      <c r="BV85" s="116"/>
    </row>
    <row r="86" spans="1:74" ht="18.649999999999999" customHeight="1">
      <c r="A86" s="113"/>
      <c r="B86" s="181"/>
      <c r="C86" s="1167"/>
      <c r="D86" s="1144"/>
      <c r="E86" s="1144"/>
      <c r="F86" s="1144"/>
      <c r="G86" s="1144"/>
      <c r="H86" s="1145"/>
      <c r="I86" s="1420"/>
      <c r="J86" s="1421"/>
      <c r="K86" s="1421"/>
      <c r="L86" s="1421"/>
      <c r="M86" s="1421"/>
      <c r="N86" s="1421"/>
      <c r="O86" s="1421"/>
      <c r="P86" s="1421"/>
      <c r="Q86" s="1421"/>
      <c r="R86" s="1421"/>
      <c r="S86" s="1421"/>
      <c r="T86" s="1421"/>
      <c r="U86" s="1421"/>
      <c r="V86" s="1421"/>
      <c r="W86" s="1421"/>
      <c r="X86" s="1421"/>
      <c r="Y86" s="1421"/>
      <c r="Z86" s="1421"/>
      <c r="AA86" s="1435"/>
      <c r="AB86" s="1158"/>
      <c r="AC86" s="1159"/>
      <c r="AD86" s="1159"/>
      <c r="AE86" s="1159"/>
      <c r="AF86" s="1160"/>
      <c r="AG86" s="1149"/>
      <c r="AH86" s="1149"/>
      <c r="AI86" s="1147"/>
      <c r="AJ86" s="1147"/>
      <c r="AK86" s="1149"/>
      <c r="AL86" s="1149"/>
      <c r="AM86" s="1147"/>
      <c r="AN86" s="1147"/>
      <c r="AO86" s="1149"/>
      <c r="AP86" s="1149"/>
      <c r="AQ86" s="1147"/>
      <c r="AR86" s="1147"/>
      <c r="AS86" s="1149"/>
      <c r="AT86" s="1437"/>
      <c r="AU86" s="122"/>
      <c r="BU86" s="116"/>
      <c r="BV86" s="116"/>
    </row>
    <row r="87" spans="1:74" ht="18.649999999999999" customHeight="1">
      <c r="A87" s="113"/>
      <c r="B87" s="181"/>
      <c r="C87" s="1327" t="s">
        <v>836</v>
      </c>
      <c r="D87" s="1141"/>
      <c r="E87" s="1141"/>
      <c r="F87" s="1141"/>
      <c r="G87" s="1141"/>
      <c r="H87" s="1142"/>
      <c r="I87" s="1438" t="s">
        <v>1052</v>
      </c>
      <c r="J87" s="1439"/>
      <c r="K87" s="1439"/>
      <c r="L87" s="1439"/>
      <c r="M87" s="1439"/>
      <c r="N87" s="1439"/>
      <c r="O87" s="1439"/>
      <c r="P87" s="1439"/>
      <c r="Q87" s="1439"/>
      <c r="R87" s="1439"/>
      <c r="S87" s="1440"/>
      <c r="T87" s="1140" t="s">
        <v>834</v>
      </c>
      <c r="U87" s="1141"/>
      <c r="V87" s="1141"/>
      <c r="W87" s="1141"/>
      <c r="X87" s="1141"/>
      <c r="Y87" s="1142"/>
      <c r="Z87" s="1444"/>
      <c r="AA87" s="1445"/>
      <c r="AB87" s="1445"/>
      <c r="AC87" s="1445"/>
      <c r="AD87" s="1445"/>
      <c r="AE87" s="1445"/>
      <c r="AF87" s="1445"/>
      <c r="AG87" s="1445"/>
      <c r="AH87" s="1445"/>
      <c r="AI87" s="1445"/>
      <c r="AJ87" s="1445"/>
      <c r="AK87" s="1446"/>
      <c r="AL87" s="1450" t="s">
        <v>780</v>
      </c>
      <c r="AM87" s="1450"/>
      <c r="AN87" s="1450"/>
      <c r="AO87" s="1450"/>
      <c r="AP87" s="1450"/>
      <c r="AQ87" s="1450"/>
      <c r="AR87" s="1450"/>
      <c r="AS87" s="1450"/>
      <c r="AT87" s="1451"/>
      <c r="AU87" s="122"/>
      <c r="AV87" s="114" t="str">
        <f>IF(AL88="00：選択して下さい","NG","OK")</f>
        <v>OK</v>
      </c>
      <c r="AW87" s="114" t="str">
        <f>IF(AND(AV88="05",Z87=""),"NG","OK")</f>
        <v>OK</v>
      </c>
      <c r="BS87" s="224"/>
      <c r="BU87" s="116"/>
      <c r="BV87" s="116"/>
    </row>
    <row r="88" spans="1:74" ht="18.649999999999999" customHeight="1">
      <c r="A88" s="113"/>
      <c r="B88" s="181"/>
      <c r="C88" s="1167"/>
      <c r="D88" s="1144"/>
      <c r="E88" s="1144"/>
      <c r="F88" s="1144"/>
      <c r="G88" s="1144"/>
      <c r="H88" s="1145"/>
      <c r="I88" s="1441"/>
      <c r="J88" s="1442"/>
      <c r="K88" s="1442"/>
      <c r="L88" s="1442"/>
      <c r="M88" s="1442"/>
      <c r="N88" s="1442"/>
      <c r="O88" s="1442"/>
      <c r="P88" s="1442"/>
      <c r="Q88" s="1442"/>
      <c r="R88" s="1442"/>
      <c r="S88" s="1443"/>
      <c r="T88" s="1143"/>
      <c r="U88" s="1144"/>
      <c r="V88" s="1144"/>
      <c r="W88" s="1144"/>
      <c r="X88" s="1144"/>
      <c r="Y88" s="1145"/>
      <c r="Z88" s="1447"/>
      <c r="AA88" s="1448"/>
      <c r="AB88" s="1448"/>
      <c r="AC88" s="1448"/>
      <c r="AD88" s="1448"/>
      <c r="AE88" s="1448"/>
      <c r="AF88" s="1448"/>
      <c r="AG88" s="1448"/>
      <c r="AH88" s="1448"/>
      <c r="AI88" s="1448"/>
      <c r="AJ88" s="1448"/>
      <c r="AK88" s="1449"/>
      <c r="AL88" s="1452" t="s">
        <v>350</v>
      </c>
      <c r="AM88" s="1452"/>
      <c r="AN88" s="1452"/>
      <c r="AO88" s="1452"/>
      <c r="AP88" s="1452"/>
      <c r="AQ88" s="1452"/>
      <c r="AR88" s="1452"/>
      <c r="AS88" s="1452"/>
      <c r="AT88" s="1453"/>
      <c r="AU88" s="122"/>
      <c r="AV88" s="114" t="str">
        <f>LEFT(I87,2)</f>
        <v>01</v>
      </c>
      <c r="AW88" s="340" t="str">
        <f>LEFT(VLOOKUP(AL88,AZ2:BA18,2,FALSE),1)</f>
        <v>3</v>
      </c>
      <c r="AX88" s="512" t="str">
        <f>IF(AV88="00","",LEFT(VLOOKUP(AV88,BK15:BL21,2,FALSE),2))</f>
        <v>01</v>
      </c>
      <c r="AY88" s="512" t="str">
        <f>IF(AV88="07",T(Z87),IF(AV88="05","電話勧誘販売",IF(AV88="06","連鎖販売","")))</f>
        <v/>
      </c>
      <c r="AZ88" s="512" t="str">
        <f>IF(AV88="00","",LEFT(VLOOKUP(AV88,BK24:BL30,2,FALSE),2))</f>
        <v>01</v>
      </c>
      <c r="BS88" s="224"/>
      <c r="BU88" s="116"/>
      <c r="BV88" s="116"/>
    </row>
    <row r="89" spans="1:74" ht="18.649999999999999" customHeight="1">
      <c r="A89" s="113"/>
      <c r="B89" s="181"/>
      <c r="C89" s="1327" t="s">
        <v>864</v>
      </c>
      <c r="D89" s="1141"/>
      <c r="E89" s="1141"/>
      <c r="F89" s="1141"/>
      <c r="G89" s="1141"/>
      <c r="H89" s="1142"/>
      <c r="I89" s="1454"/>
      <c r="J89" s="1455"/>
      <c r="K89" s="1455"/>
      <c r="L89" s="1455"/>
      <c r="M89" s="1455"/>
      <c r="N89" s="1455"/>
      <c r="O89" s="1455"/>
      <c r="P89" s="1455"/>
      <c r="Q89" s="1455"/>
      <c r="R89" s="1455"/>
      <c r="S89" s="1458" t="s">
        <v>837</v>
      </c>
      <c r="T89" s="1459" t="s">
        <v>436</v>
      </c>
      <c r="U89" s="1459"/>
      <c r="V89" s="1459"/>
      <c r="W89" s="1459"/>
      <c r="X89" s="1459"/>
      <c r="Y89" s="1459"/>
      <c r="Z89" s="1460"/>
      <c r="AA89" s="1461"/>
      <c r="AB89" s="1461"/>
      <c r="AC89" s="1461"/>
      <c r="AD89" s="1461"/>
      <c r="AE89" s="1464" t="s">
        <v>837</v>
      </c>
      <c r="AF89" s="1466" t="s">
        <v>438</v>
      </c>
      <c r="AG89" s="1461"/>
      <c r="AH89" s="1461"/>
      <c r="AI89" s="1461"/>
      <c r="AJ89" s="1461"/>
      <c r="AK89" s="1468" t="s">
        <v>437</v>
      </c>
      <c r="AL89" s="1459" t="s">
        <v>439</v>
      </c>
      <c r="AM89" s="1459"/>
      <c r="AN89" s="1459"/>
      <c r="AO89" s="1459"/>
      <c r="AP89" s="1460"/>
      <c r="AQ89" s="1461"/>
      <c r="AR89" s="1461"/>
      <c r="AS89" s="1461"/>
      <c r="AT89" s="1381" t="s">
        <v>437</v>
      </c>
      <c r="AU89" s="122"/>
      <c r="BS89" s="224"/>
      <c r="BU89" s="116"/>
      <c r="BV89" s="116"/>
    </row>
    <row r="90" spans="1:74" ht="18.649999999999999" customHeight="1">
      <c r="A90" s="113"/>
      <c r="B90" s="181"/>
      <c r="C90" s="1167"/>
      <c r="D90" s="1144"/>
      <c r="E90" s="1144"/>
      <c r="F90" s="1144"/>
      <c r="G90" s="1144"/>
      <c r="H90" s="1145"/>
      <c r="I90" s="1456"/>
      <c r="J90" s="1457"/>
      <c r="K90" s="1457"/>
      <c r="L90" s="1457"/>
      <c r="M90" s="1457"/>
      <c r="N90" s="1457"/>
      <c r="O90" s="1457"/>
      <c r="P90" s="1457"/>
      <c r="Q90" s="1457"/>
      <c r="R90" s="1457"/>
      <c r="S90" s="1149"/>
      <c r="T90" s="1459"/>
      <c r="U90" s="1459"/>
      <c r="V90" s="1459"/>
      <c r="W90" s="1459"/>
      <c r="X90" s="1459"/>
      <c r="Y90" s="1459"/>
      <c r="Z90" s="1462"/>
      <c r="AA90" s="1463"/>
      <c r="AB90" s="1463"/>
      <c r="AC90" s="1463"/>
      <c r="AD90" s="1463"/>
      <c r="AE90" s="1465"/>
      <c r="AF90" s="1467"/>
      <c r="AG90" s="1463"/>
      <c r="AH90" s="1463"/>
      <c r="AI90" s="1463"/>
      <c r="AJ90" s="1463"/>
      <c r="AK90" s="1469"/>
      <c r="AL90" s="1459"/>
      <c r="AM90" s="1459"/>
      <c r="AN90" s="1459"/>
      <c r="AO90" s="1459"/>
      <c r="AP90" s="1462"/>
      <c r="AQ90" s="1463"/>
      <c r="AR90" s="1463"/>
      <c r="AS90" s="1463"/>
      <c r="AT90" s="1470"/>
      <c r="AU90" s="122"/>
      <c r="AV90" s="197" t="s">
        <v>869</v>
      </c>
      <c r="AW90" s="197" t="s">
        <v>868</v>
      </c>
      <c r="AX90" s="197" t="s">
        <v>867</v>
      </c>
      <c r="AY90" s="197" t="s">
        <v>866</v>
      </c>
      <c r="AZ90" s="197" t="s">
        <v>874</v>
      </c>
      <c r="BA90" s="197" t="s">
        <v>872</v>
      </c>
      <c r="BB90" s="197" t="s">
        <v>873</v>
      </c>
      <c r="BC90" s="197" t="s">
        <v>878</v>
      </c>
      <c r="BS90" s="224"/>
      <c r="BU90" s="116"/>
      <c r="BV90" s="116"/>
    </row>
    <row r="91" spans="1:74" ht="18.649999999999999" customHeight="1">
      <c r="A91" s="113"/>
      <c r="B91" s="181"/>
      <c r="C91" s="1327" t="s">
        <v>443</v>
      </c>
      <c r="D91" s="1141"/>
      <c r="E91" s="1141"/>
      <c r="F91" s="1141"/>
      <c r="G91" s="1141"/>
      <c r="H91" s="1142"/>
      <c r="I91" s="188"/>
      <c r="J91" s="189"/>
      <c r="K91" s="191" t="s">
        <v>871</v>
      </c>
      <c r="L91" s="191"/>
      <c r="M91" s="192"/>
      <c r="N91" s="193"/>
      <c r="O91" s="191" t="s">
        <v>872</v>
      </c>
      <c r="P91" s="191"/>
      <c r="Q91" s="190"/>
      <c r="R91" s="190"/>
      <c r="S91" s="191" t="s">
        <v>873</v>
      </c>
      <c r="T91" s="191"/>
      <c r="U91" s="191"/>
      <c r="V91" s="192"/>
      <c r="W91" s="191"/>
      <c r="X91" s="191" t="s">
        <v>870</v>
      </c>
      <c r="Y91" s="191"/>
      <c r="Z91" s="194"/>
      <c r="AA91" s="192"/>
      <c r="AB91" s="191" t="s">
        <v>876</v>
      </c>
      <c r="AC91" s="191"/>
      <c r="AD91" s="191"/>
      <c r="AE91" s="195"/>
      <c r="AF91" s="191"/>
      <c r="AG91" s="191" t="s">
        <v>444</v>
      </c>
      <c r="AH91" s="196"/>
      <c r="AI91" s="1471" t="s">
        <v>445</v>
      </c>
      <c r="AJ91" s="1472"/>
      <c r="AK91" s="1472"/>
      <c r="AL91" s="1472"/>
      <c r="AM91" s="1472"/>
      <c r="AN91" s="1472"/>
      <c r="AO91" s="1472"/>
      <c r="AP91" s="1472"/>
      <c r="AQ91" s="1472"/>
      <c r="AR91" s="1472"/>
      <c r="AS91" s="1472"/>
      <c r="AT91" s="1473"/>
      <c r="AU91" s="122"/>
      <c r="AV91" s="114" t="b">
        <v>0</v>
      </c>
      <c r="AW91" s="114" t="b">
        <v>0</v>
      </c>
      <c r="AX91" s="114" t="b">
        <v>0</v>
      </c>
      <c r="AY91" s="114" t="b">
        <v>0</v>
      </c>
      <c r="AZ91" s="114" t="b">
        <v>0</v>
      </c>
      <c r="BA91" s="114" t="b">
        <v>0</v>
      </c>
      <c r="BB91" s="114" t="b">
        <v>0</v>
      </c>
      <c r="BC91" s="114" t="b">
        <v>0</v>
      </c>
      <c r="BS91" s="224"/>
      <c r="BU91" s="116"/>
      <c r="BV91" s="116"/>
    </row>
    <row r="92" spans="1:74" ht="18.649999999999999" customHeight="1">
      <c r="A92" s="113"/>
      <c r="B92" s="181"/>
      <c r="C92" s="1150"/>
      <c r="D92" s="1151"/>
      <c r="E92" s="1151"/>
      <c r="F92" s="1151"/>
      <c r="G92" s="1151"/>
      <c r="H92" s="1152"/>
      <c r="I92" s="1474" t="s">
        <v>762</v>
      </c>
      <c r="J92" s="1475"/>
      <c r="K92" s="1475"/>
      <c r="L92" s="1475"/>
      <c r="M92" s="1476"/>
      <c r="N92" s="1477"/>
      <c r="O92" s="1478"/>
      <c r="P92" s="1478"/>
      <c r="Q92" s="1478"/>
      <c r="R92" s="1478"/>
      <c r="S92" s="1478"/>
      <c r="T92" s="1478"/>
      <c r="U92" s="1478"/>
      <c r="V92" s="1479"/>
      <c r="W92" s="1474" t="s">
        <v>763</v>
      </c>
      <c r="X92" s="1475"/>
      <c r="Y92" s="1475"/>
      <c r="Z92" s="1475"/>
      <c r="AA92" s="1476"/>
      <c r="AB92" s="1480"/>
      <c r="AC92" s="1481"/>
      <c r="AD92" s="1481"/>
      <c r="AE92" s="1481"/>
      <c r="AF92" s="1481"/>
      <c r="AG92" s="1481"/>
      <c r="AH92" s="1482"/>
      <c r="AI92" s="1474" t="s">
        <v>764</v>
      </c>
      <c r="AJ92" s="1475"/>
      <c r="AK92" s="1475"/>
      <c r="AL92" s="1475"/>
      <c r="AM92" s="1476"/>
      <c r="AN92" s="1477"/>
      <c r="AO92" s="1478"/>
      <c r="AP92" s="315" t="s">
        <v>765</v>
      </c>
      <c r="AQ92" s="316"/>
      <c r="AR92" s="315" t="s">
        <v>766</v>
      </c>
      <c r="AS92" s="316"/>
      <c r="AT92" s="317" t="s">
        <v>767</v>
      </c>
      <c r="AU92" s="122"/>
      <c r="AV92" s="114" t="str">
        <f>IF(OR(AV91=TRUE,AW91=TRUE,AX91=TRUE,AY91=TRUE,AZ91=TRUE,BA91=TRUE,BB91=TRUE),"免許有","免許無")</f>
        <v>免許無</v>
      </c>
      <c r="AW92" s="114" t="str">
        <f>IF(OR(AV92="免許無",AND(AV92="免許有",N92&lt;&gt;"",AB92&lt;&gt;"",AN92&lt;&gt;"",AQ92&lt;&gt;"",AS92&lt;&gt;"")),"OK","NG")</f>
        <v>OK</v>
      </c>
      <c r="BU92" s="116"/>
      <c r="BV92" s="116"/>
    </row>
    <row r="93" spans="1:74" ht="18.649999999999999" customHeight="1">
      <c r="A93" s="113"/>
      <c r="B93" s="181"/>
      <c r="C93" s="1483" t="s">
        <v>1077</v>
      </c>
      <c r="D93" s="1484"/>
      <c r="E93" s="1484"/>
      <c r="F93" s="1484"/>
      <c r="G93" s="1484"/>
      <c r="H93" s="1484"/>
      <c r="I93" s="322"/>
      <c r="J93" s="323"/>
      <c r="K93" s="1485" t="s">
        <v>1093</v>
      </c>
      <c r="L93" s="1485"/>
      <c r="M93" s="323"/>
      <c r="N93" s="323"/>
      <c r="O93" s="1485" t="s">
        <v>1094</v>
      </c>
      <c r="P93" s="1485"/>
      <c r="Q93" s="324"/>
      <c r="R93" s="1459" t="s">
        <v>1078</v>
      </c>
      <c r="S93" s="1459"/>
      <c r="T93" s="1459"/>
      <c r="U93" s="1459"/>
      <c r="V93" s="1459"/>
      <c r="W93" s="1459"/>
      <c r="X93" s="322"/>
      <c r="Y93" s="323"/>
      <c r="Z93" s="1485" t="s">
        <v>1093</v>
      </c>
      <c r="AA93" s="1485"/>
      <c r="AB93" s="323"/>
      <c r="AC93" s="323"/>
      <c r="AD93" s="1485" t="s">
        <v>1094</v>
      </c>
      <c r="AE93" s="1485"/>
      <c r="AF93" s="324"/>
      <c r="AG93" s="1459" t="s">
        <v>1079</v>
      </c>
      <c r="AH93" s="1459"/>
      <c r="AI93" s="1459"/>
      <c r="AJ93" s="1459"/>
      <c r="AK93" s="1459"/>
      <c r="AL93" s="1459"/>
      <c r="AM93" s="318"/>
      <c r="AN93" s="319"/>
      <c r="AO93" s="1487" t="s">
        <v>1093</v>
      </c>
      <c r="AP93" s="1487"/>
      <c r="AQ93" s="319"/>
      <c r="AR93" s="319"/>
      <c r="AS93" s="1487" t="s">
        <v>1095</v>
      </c>
      <c r="AT93" s="1489"/>
      <c r="AU93" s="122"/>
      <c r="AV93" s="197" t="s">
        <v>1082</v>
      </c>
      <c r="AW93" s="197" t="s">
        <v>1083</v>
      </c>
      <c r="AX93" s="197" t="s">
        <v>1084</v>
      </c>
      <c r="AY93" s="114" t="str">
        <f>IF(OR(AV94=0,AW94=0,AX94=0,AV96=0,AW96=0,AX96=0),"NG","OK")</f>
        <v>OK</v>
      </c>
      <c r="AZ93" s="341"/>
      <c r="BS93" s="224"/>
      <c r="BU93" s="116"/>
      <c r="BV93" s="116"/>
    </row>
    <row r="94" spans="1:74" ht="18.649999999999999" customHeight="1">
      <c r="A94" s="113"/>
      <c r="B94" s="181"/>
      <c r="C94" s="1483"/>
      <c r="D94" s="1484"/>
      <c r="E94" s="1484"/>
      <c r="F94" s="1484"/>
      <c r="G94" s="1484"/>
      <c r="H94" s="1484"/>
      <c r="I94" s="325"/>
      <c r="J94" s="326"/>
      <c r="K94" s="1486"/>
      <c r="L94" s="1486"/>
      <c r="M94" s="326"/>
      <c r="N94" s="326"/>
      <c r="O94" s="1486"/>
      <c r="P94" s="1486"/>
      <c r="Q94" s="327"/>
      <c r="R94" s="1459"/>
      <c r="S94" s="1459"/>
      <c r="T94" s="1459"/>
      <c r="U94" s="1459"/>
      <c r="V94" s="1459"/>
      <c r="W94" s="1459"/>
      <c r="X94" s="325"/>
      <c r="Y94" s="326"/>
      <c r="Z94" s="1486"/>
      <c r="AA94" s="1486"/>
      <c r="AB94" s="326"/>
      <c r="AC94" s="326"/>
      <c r="AD94" s="1486"/>
      <c r="AE94" s="1486"/>
      <c r="AF94" s="327"/>
      <c r="AG94" s="1459"/>
      <c r="AH94" s="1459"/>
      <c r="AI94" s="1459"/>
      <c r="AJ94" s="1459"/>
      <c r="AK94" s="1459"/>
      <c r="AL94" s="1459"/>
      <c r="AM94" s="320"/>
      <c r="AN94" s="321"/>
      <c r="AO94" s="1488"/>
      <c r="AP94" s="1488"/>
      <c r="AQ94" s="321"/>
      <c r="AR94" s="321"/>
      <c r="AS94" s="1488"/>
      <c r="AT94" s="1490"/>
      <c r="AU94" s="122"/>
      <c r="AV94" s="114">
        <v>1</v>
      </c>
      <c r="AW94" s="114">
        <v>1</v>
      </c>
      <c r="AX94" s="114">
        <v>1</v>
      </c>
      <c r="AZ94" s="341"/>
      <c r="BU94" s="116"/>
      <c r="BV94" s="116"/>
    </row>
    <row r="95" spans="1:74" ht="18.649999999999999" customHeight="1">
      <c r="A95" s="113"/>
      <c r="B95" s="181"/>
      <c r="C95" s="1483" t="s">
        <v>1080</v>
      </c>
      <c r="D95" s="1484"/>
      <c r="E95" s="1484"/>
      <c r="F95" s="1484"/>
      <c r="G95" s="1484"/>
      <c r="H95" s="1484"/>
      <c r="I95" s="322"/>
      <c r="J95" s="323"/>
      <c r="K95" s="1485" t="s">
        <v>1093</v>
      </c>
      <c r="L95" s="1485"/>
      <c r="M95" s="323"/>
      <c r="N95" s="323"/>
      <c r="O95" s="1485" t="s">
        <v>1094</v>
      </c>
      <c r="P95" s="1485"/>
      <c r="Q95" s="324"/>
      <c r="R95" s="1491" t="s">
        <v>1081</v>
      </c>
      <c r="S95" s="1459"/>
      <c r="T95" s="1459"/>
      <c r="U95" s="1459"/>
      <c r="V95" s="1459"/>
      <c r="W95" s="1459"/>
      <c r="X95" s="322"/>
      <c r="Y95" s="323"/>
      <c r="Z95" s="1485" t="s">
        <v>1093</v>
      </c>
      <c r="AA95" s="1485"/>
      <c r="AB95" s="323"/>
      <c r="AC95" s="323"/>
      <c r="AD95" s="1485" t="s">
        <v>1094</v>
      </c>
      <c r="AE95" s="1485"/>
      <c r="AF95" s="324"/>
      <c r="AG95" s="1459" t="s">
        <v>1177</v>
      </c>
      <c r="AH95" s="1459"/>
      <c r="AI95" s="1459"/>
      <c r="AJ95" s="1459"/>
      <c r="AK95" s="1459"/>
      <c r="AL95" s="1459"/>
      <c r="AM95" s="318"/>
      <c r="AN95" s="319"/>
      <c r="AO95" s="1487" t="s">
        <v>1093</v>
      </c>
      <c r="AP95" s="1487"/>
      <c r="AQ95" s="319"/>
      <c r="AR95" s="319"/>
      <c r="AS95" s="1487" t="s">
        <v>1094</v>
      </c>
      <c r="AT95" s="1489"/>
      <c r="AU95" s="122"/>
      <c r="AV95" s="197" t="s">
        <v>1085</v>
      </c>
      <c r="AW95" s="197" t="s">
        <v>1086</v>
      </c>
      <c r="AX95" s="197" t="s">
        <v>1178</v>
      </c>
      <c r="AZ95" s="341"/>
      <c r="BU95" s="116"/>
      <c r="BV95" s="116"/>
    </row>
    <row r="96" spans="1:74" ht="18.649999999999999" customHeight="1">
      <c r="A96" s="113"/>
      <c r="B96" s="181"/>
      <c r="C96" s="1483"/>
      <c r="D96" s="1484"/>
      <c r="E96" s="1484"/>
      <c r="F96" s="1484"/>
      <c r="G96" s="1484"/>
      <c r="H96" s="1484"/>
      <c r="I96" s="325"/>
      <c r="J96" s="326"/>
      <c r="K96" s="1486"/>
      <c r="L96" s="1486"/>
      <c r="M96" s="326"/>
      <c r="N96" s="326"/>
      <c r="O96" s="1486"/>
      <c r="P96" s="1486"/>
      <c r="Q96" s="327"/>
      <c r="R96" s="1459"/>
      <c r="S96" s="1459"/>
      <c r="T96" s="1459"/>
      <c r="U96" s="1459"/>
      <c r="V96" s="1459"/>
      <c r="W96" s="1459"/>
      <c r="X96" s="325"/>
      <c r="Y96" s="326"/>
      <c r="Z96" s="1486"/>
      <c r="AA96" s="1486"/>
      <c r="AB96" s="326"/>
      <c r="AC96" s="326"/>
      <c r="AD96" s="1486"/>
      <c r="AE96" s="1486"/>
      <c r="AF96" s="327"/>
      <c r="AG96" s="1459"/>
      <c r="AH96" s="1459"/>
      <c r="AI96" s="1459"/>
      <c r="AJ96" s="1459"/>
      <c r="AK96" s="1459"/>
      <c r="AL96" s="1459"/>
      <c r="AM96" s="320"/>
      <c r="AN96" s="321"/>
      <c r="AO96" s="1488"/>
      <c r="AP96" s="1488"/>
      <c r="AQ96" s="321"/>
      <c r="AR96" s="321"/>
      <c r="AS96" s="1488"/>
      <c r="AT96" s="1490"/>
      <c r="AU96" s="122"/>
      <c r="AV96" s="114">
        <v>1</v>
      </c>
      <c r="AW96" s="114">
        <v>1</v>
      </c>
      <c r="AX96" s="114">
        <v>1</v>
      </c>
      <c r="AZ96" s="341"/>
      <c r="BU96" s="116"/>
      <c r="BV96" s="116"/>
    </row>
    <row r="97" spans="1:74" ht="18.649999999999999" customHeight="1">
      <c r="A97" s="113"/>
      <c r="B97" s="181"/>
      <c r="C97" s="1164" t="s">
        <v>1097</v>
      </c>
      <c r="D97" s="1165"/>
      <c r="E97" s="1165"/>
      <c r="F97" s="1165"/>
      <c r="G97" s="1165"/>
      <c r="H97" s="1165"/>
      <c r="I97" s="1165"/>
      <c r="J97" s="1165"/>
      <c r="K97" s="1166"/>
      <c r="L97" s="1492" t="s">
        <v>1109</v>
      </c>
      <c r="M97" s="1492"/>
      <c r="N97" s="1492"/>
      <c r="O97" s="1492"/>
      <c r="P97" s="1492"/>
      <c r="Q97" s="1492"/>
      <c r="R97" s="1492"/>
      <c r="S97" s="1492"/>
      <c r="T97" s="1492"/>
      <c r="U97" s="1492"/>
      <c r="V97" s="1493" t="s">
        <v>1098</v>
      </c>
      <c r="W97" s="1375"/>
      <c r="X97" s="1375"/>
      <c r="Y97" s="1375"/>
      <c r="Z97" s="1375"/>
      <c r="AA97" s="1375"/>
      <c r="AB97" s="1375"/>
      <c r="AC97" s="1376"/>
      <c r="AD97" s="1148" t="s">
        <v>1091</v>
      </c>
      <c r="AE97" s="1148"/>
      <c r="AF97" s="1146"/>
      <c r="AG97" s="1146"/>
      <c r="AH97" s="1148" t="s">
        <v>1090</v>
      </c>
      <c r="AI97" s="1148"/>
      <c r="AJ97" s="1146"/>
      <c r="AK97" s="1146"/>
      <c r="AL97" s="1148" t="s">
        <v>1089</v>
      </c>
      <c r="AM97" s="1148"/>
      <c r="AN97" s="1509" t="s">
        <v>5663</v>
      </c>
      <c r="AO97" s="1510"/>
      <c r="AP97" s="1510"/>
      <c r="AQ97" s="1511"/>
      <c r="AR97" s="2710"/>
      <c r="AS97" s="2710"/>
      <c r="AT97" s="2712" t="s">
        <v>767</v>
      </c>
      <c r="AU97" s="122"/>
      <c r="AV97" s="114">
        <f>IF(L97="",0,VALUE(LEFT(L97,2)))</f>
        <v>2</v>
      </c>
      <c r="AZ97" s="341"/>
      <c r="BU97" s="116"/>
      <c r="BV97" s="116"/>
    </row>
    <row r="98" spans="1:74" ht="18.649999999999999" customHeight="1">
      <c r="A98" s="113"/>
      <c r="B98" s="181"/>
      <c r="C98" s="1167"/>
      <c r="D98" s="1144"/>
      <c r="E98" s="1144"/>
      <c r="F98" s="1144"/>
      <c r="G98" s="1144"/>
      <c r="H98" s="1144"/>
      <c r="I98" s="1144"/>
      <c r="J98" s="1144"/>
      <c r="K98" s="1145"/>
      <c r="L98" s="1361"/>
      <c r="M98" s="1361"/>
      <c r="N98" s="1361"/>
      <c r="O98" s="1361"/>
      <c r="P98" s="1361"/>
      <c r="Q98" s="1361"/>
      <c r="R98" s="1361"/>
      <c r="S98" s="1361"/>
      <c r="T98" s="1361"/>
      <c r="U98" s="1361"/>
      <c r="V98" s="1355"/>
      <c r="W98" s="1356"/>
      <c r="X98" s="1356"/>
      <c r="Y98" s="1356"/>
      <c r="Z98" s="1356"/>
      <c r="AA98" s="1356"/>
      <c r="AB98" s="1356"/>
      <c r="AC98" s="1357"/>
      <c r="AD98" s="1149"/>
      <c r="AE98" s="1149"/>
      <c r="AF98" s="1147"/>
      <c r="AG98" s="1147"/>
      <c r="AH98" s="1149"/>
      <c r="AI98" s="1149"/>
      <c r="AJ98" s="1147"/>
      <c r="AK98" s="1147"/>
      <c r="AL98" s="1149"/>
      <c r="AM98" s="1149"/>
      <c r="AN98" s="1512"/>
      <c r="AO98" s="1513"/>
      <c r="AP98" s="1513"/>
      <c r="AQ98" s="1514"/>
      <c r="AR98" s="2711"/>
      <c r="AS98" s="2711"/>
      <c r="AT98" s="2713"/>
      <c r="AU98" s="122"/>
      <c r="AV98" s="114" t="str">
        <f>IF(AV97=3,IF(OR(AF97="",AJ97=""),"NG","OK"),IF(AV97=0,"NG","OK"))</f>
        <v>OK</v>
      </c>
      <c r="AW98" s="114" t="str">
        <f>IF(OR(AW96=2,AX96=2),IF(AR97="","NG","OK"),"OK")</f>
        <v>OK</v>
      </c>
      <c r="AZ98" s="341"/>
      <c r="BU98" s="116"/>
      <c r="BV98" s="116"/>
    </row>
    <row r="99" spans="1:74" ht="18.649999999999999" customHeight="1">
      <c r="A99" s="113"/>
      <c r="B99" s="181"/>
      <c r="C99" s="1150" t="s">
        <v>1179</v>
      </c>
      <c r="D99" s="1151"/>
      <c r="E99" s="1151"/>
      <c r="F99" s="1151"/>
      <c r="G99" s="1151"/>
      <c r="H99" s="1151"/>
      <c r="I99" s="1151"/>
      <c r="J99" s="1151"/>
      <c r="K99" s="1152"/>
      <c r="L99" s="1156" t="s">
        <v>2233</v>
      </c>
      <c r="M99" s="1156"/>
      <c r="N99" s="1156"/>
      <c r="O99" s="1156"/>
      <c r="P99" s="1156"/>
      <c r="Q99" s="1156"/>
      <c r="R99" s="1156"/>
      <c r="S99" s="1156"/>
      <c r="T99" s="1156"/>
      <c r="U99" s="1156"/>
      <c r="V99" s="1158" t="s">
        <v>1180</v>
      </c>
      <c r="W99" s="1159"/>
      <c r="X99" s="1159"/>
      <c r="Y99" s="1159"/>
      <c r="Z99" s="1159"/>
      <c r="AA99" s="1159"/>
      <c r="AB99" s="1159"/>
      <c r="AC99" s="1160"/>
      <c r="AD99" s="1148" t="s">
        <v>1091</v>
      </c>
      <c r="AE99" s="1148"/>
      <c r="AF99" s="1146"/>
      <c r="AG99" s="1146"/>
      <c r="AH99" s="1148" t="s">
        <v>1090</v>
      </c>
      <c r="AI99" s="1148"/>
      <c r="AJ99" s="1146"/>
      <c r="AK99" s="1146"/>
      <c r="AL99" s="1148" t="s">
        <v>1089</v>
      </c>
      <c r="AM99" s="1148"/>
      <c r="AN99" s="348"/>
      <c r="AO99" s="346"/>
      <c r="AP99" s="346"/>
      <c r="AQ99" s="346"/>
      <c r="AR99" s="343"/>
      <c r="AS99" s="335"/>
      <c r="AT99" s="336"/>
      <c r="AU99" s="122"/>
      <c r="AV99" s="114">
        <f>IF(L99="",0,VALUE(LEFT(L99,2)))</f>
        <v>3</v>
      </c>
      <c r="AZ99" s="341"/>
      <c r="BU99" s="116"/>
      <c r="BV99" s="116"/>
    </row>
    <row r="100" spans="1:74" ht="18.649999999999999" customHeight="1" thickBot="1">
      <c r="A100" s="113"/>
      <c r="B100" s="181"/>
      <c r="C100" s="1153"/>
      <c r="D100" s="1154"/>
      <c r="E100" s="1154"/>
      <c r="F100" s="1154"/>
      <c r="G100" s="1154"/>
      <c r="H100" s="1154"/>
      <c r="I100" s="1154"/>
      <c r="J100" s="1154"/>
      <c r="K100" s="1155"/>
      <c r="L100" s="1157"/>
      <c r="M100" s="1157"/>
      <c r="N100" s="1157"/>
      <c r="O100" s="1157"/>
      <c r="P100" s="1157"/>
      <c r="Q100" s="1157"/>
      <c r="R100" s="1157"/>
      <c r="S100" s="1157"/>
      <c r="T100" s="1157"/>
      <c r="U100" s="1157"/>
      <c r="V100" s="1161"/>
      <c r="W100" s="1162"/>
      <c r="X100" s="1162"/>
      <c r="Y100" s="1162"/>
      <c r="Z100" s="1162"/>
      <c r="AA100" s="1162"/>
      <c r="AB100" s="1162"/>
      <c r="AC100" s="1163"/>
      <c r="AD100" s="1149"/>
      <c r="AE100" s="1149"/>
      <c r="AF100" s="1147"/>
      <c r="AG100" s="1147"/>
      <c r="AH100" s="1149"/>
      <c r="AI100" s="1149"/>
      <c r="AJ100" s="1147"/>
      <c r="AK100" s="1147"/>
      <c r="AL100" s="1149"/>
      <c r="AM100" s="1149"/>
      <c r="AN100" s="349"/>
      <c r="AO100" s="347"/>
      <c r="AP100" s="347"/>
      <c r="AQ100" s="347"/>
      <c r="AR100" s="344"/>
      <c r="AS100" s="337"/>
      <c r="AT100" s="338"/>
      <c r="AU100" s="122"/>
      <c r="AV100" s="114" t="str">
        <f>IF(AV99=2,IF(OR(AF99="",AJ99=""),"NG","OK"),IF(AV99=0,"NG","OK"))</f>
        <v>OK</v>
      </c>
      <c r="AZ100" s="341"/>
      <c r="BU100" s="116"/>
      <c r="BV100" s="116"/>
    </row>
    <row r="101" spans="1:74" ht="18.649999999999999" customHeight="1">
      <c r="A101" s="113"/>
      <c r="B101" s="181"/>
      <c r="C101" s="124"/>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22"/>
    </row>
    <row r="102" spans="1:74" ht="18.649999999999999" customHeight="1">
      <c r="A102" s="113"/>
      <c r="B102" s="181"/>
      <c r="C102" s="111"/>
      <c r="D102" s="111"/>
      <c r="E102" s="111"/>
      <c r="F102" s="111"/>
      <c r="G102" s="111"/>
      <c r="H102" s="111"/>
      <c r="I102" s="111"/>
      <c r="J102" s="111"/>
      <c r="K102" s="111"/>
      <c r="L102" s="111"/>
      <c r="M102" s="1494" t="s">
        <v>948</v>
      </c>
      <c r="N102" s="1136"/>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22"/>
    </row>
    <row r="103" spans="1:74" ht="18.649999999999999" customHeight="1" thickBot="1">
      <c r="A103" s="113"/>
      <c r="B103" s="181"/>
      <c r="C103" s="111"/>
      <c r="D103" s="111"/>
      <c r="E103" s="111"/>
      <c r="F103" s="111"/>
      <c r="G103" s="111"/>
      <c r="H103" s="111"/>
      <c r="I103" s="111"/>
      <c r="J103" s="111"/>
      <c r="K103" s="111"/>
      <c r="L103" s="111"/>
      <c r="M103" s="1137"/>
      <c r="N103" s="1137"/>
      <c r="O103" s="1137"/>
      <c r="P103" s="1137"/>
      <c r="Q103" s="1137"/>
      <c r="R103" s="1137"/>
      <c r="S103" s="1137"/>
      <c r="T103" s="1137"/>
      <c r="U103" s="1137"/>
      <c r="V103" s="1137"/>
      <c r="W103" s="1137"/>
      <c r="X103" s="1137"/>
      <c r="Y103" s="1137"/>
      <c r="Z103" s="1137"/>
      <c r="AA103" s="1137"/>
      <c r="AB103" s="1137"/>
      <c r="AC103" s="1137"/>
      <c r="AD103" s="1137"/>
      <c r="AE103" s="1137"/>
      <c r="AF103" s="1137"/>
      <c r="AG103" s="1137"/>
      <c r="AH103" s="1137"/>
      <c r="AI103" s="1137"/>
      <c r="AJ103" s="1137"/>
      <c r="AK103" s="1137"/>
      <c r="AL103" s="1137"/>
      <c r="AM103" s="1137"/>
      <c r="AN103" s="1137"/>
      <c r="AO103" s="1137"/>
      <c r="AP103" s="1137"/>
      <c r="AQ103" s="1137"/>
      <c r="AR103" s="1137"/>
      <c r="AS103" s="1137"/>
      <c r="AT103" s="1137"/>
      <c r="AU103" s="122"/>
    </row>
    <row r="104" spans="1:74" ht="18.649999999999999" customHeight="1">
      <c r="A104" s="111"/>
      <c r="B104" s="181">
        <f>IF(OR(I104="",AV104=0,AG104="",AV105=0,I106="",K106="",M106="",O106="",V106="",X106="",Z106="",AV108=0,V108="",X108="",Z108="",AB108="",AD108="",AF108="",AH108="",I110="",I112=""),1,0)</f>
        <v>1</v>
      </c>
      <c r="C104" s="1210" t="s">
        <v>563</v>
      </c>
      <c r="D104" s="1211"/>
      <c r="E104" s="1211"/>
      <c r="F104" s="1211"/>
      <c r="G104" s="1211"/>
      <c r="H104" s="1212"/>
      <c r="I104" s="1495"/>
      <c r="J104" s="1496"/>
      <c r="K104" s="1496"/>
      <c r="L104" s="1496"/>
      <c r="M104" s="1496"/>
      <c r="N104" s="1496"/>
      <c r="O104" s="1496"/>
      <c r="P104" s="1496"/>
      <c r="Q104" s="1496"/>
      <c r="R104" s="1497"/>
      <c r="S104" s="277"/>
      <c r="T104" s="1501" t="s">
        <v>564</v>
      </c>
      <c r="U104" s="1501"/>
      <c r="V104" s="136"/>
      <c r="W104" s="1501" t="s">
        <v>565</v>
      </c>
      <c r="X104" s="1501"/>
      <c r="Y104" s="136"/>
      <c r="Z104" s="1501" t="s">
        <v>566</v>
      </c>
      <c r="AA104" s="1502"/>
      <c r="AB104" s="1211" t="s">
        <v>567</v>
      </c>
      <c r="AC104" s="1211"/>
      <c r="AD104" s="1211"/>
      <c r="AE104" s="1211"/>
      <c r="AF104" s="1212"/>
      <c r="AG104" s="1503"/>
      <c r="AH104" s="1503"/>
      <c r="AI104" s="1503"/>
      <c r="AJ104" s="1503"/>
      <c r="AK104" s="1503"/>
      <c r="AL104" s="1503"/>
      <c r="AM104" s="1503"/>
      <c r="AN104" s="1503"/>
      <c r="AO104" s="277"/>
      <c r="AP104" s="1501" t="s">
        <v>568</v>
      </c>
      <c r="AQ104" s="1501"/>
      <c r="AR104" s="136"/>
      <c r="AS104" s="1501" t="s">
        <v>569</v>
      </c>
      <c r="AT104" s="1505"/>
      <c r="AU104" s="122"/>
      <c r="AV104" s="114">
        <v>0</v>
      </c>
      <c r="BU104" s="115" t="s">
        <v>1064</v>
      </c>
    </row>
    <row r="105" spans="1:74" ht="18.649999999999999" customHeight="1">
      <c r="A105" s="111"/>
      <c r="B105" s="181"/>
      <c r="C105" s="1167"/>
      <c r="D105" s="1144"/>
      <c r="E105" s="1144"/>
      <c r="F105" s="1144"/>
      <c r="G105" s="1144"/>
      <c r="H105" s="1145"/>
      <c r="I105" s="1498"/>
      <c r="J105" s="1499"/>
      <c r="K105" s="1499"/>
      <c r="L105" s="1499"/>
      <c r="M105" s="1499"/>
      <c r="N105" s="1499"/>
      <c r="O105" s="1499"/>
      <c r="P105" s="1499"/>
      <c r="Q105" s="1499"/>
      <c r="R105" s="1500"/>
      <c r="S105" s="278"/>
      <c r="T105" s="1506" t="s">
        <v>570</v>
      </c>
      <c r="U105" s="1506"/>
      <c r="V105" s="279"/>
      <c r="W105" s="1506" t="s">
        <v>571</v>
      </c>
      <c r="X105" s="1506"/>
      <c r="Y105" s="279"/>
      <c r="Z105" s="1506" t="s">
        <v>572</v>
      </c>
      <c r="AA105" s="1507"/>
      <c r="AB105" s="1144"/>
      <c r="AC105" s="1144"/>
      <c r="AD105" s="1144"/>
      <c r="AE105" s="1144"/>
      <c r="AF105" s="1145"/>
      <c r="AG105" s="1504"/>
      <c r="AH105" s="1504"/>
      <c r="AI105" s="1504"/>
      <c r="AJ105" s="1504"/>
      <c r="AK105" s="1504"/>
      <c r="AL105" s="1504"/>
      <c r="AM105" s="1504"/>
      <c r="AN105" s="1504"/>
      <c r="AO105" s="278"/>
      <c r="AP105" s="1506" t="s">
        <v>573</v>
      </c>
      <c r="AQ105" s="1506"/>
      <c r="AR105" s="279"/>
      <c r="AS105" s="1506" t="s">
        <v>574</v>
      </c>
      <c r="AT105" s="1508"/>
      <c r="AU105" s="122"/>
      <c r="AV105" s="114">
        <v>0</v>
      </c>
    </row>
    <row r="106" spans="1:74" ht="18.649999999999999" customHeight="1">
      <c r="A106" s="111"/>
      <c r="B106" s="181"/>
      <c r="C106" s="1333" t="s">
        <v>768</v>
      </c>
      <c r="D106" s="1328"/>
      <c r="E106" s="1328"/>
      <c r="F106" s="1328"/>
      <c r="G106" s="1328"/>
      <c r="H106" s="1329"/>
      <c r="I106" s="1541"/>
      <c r="J106" s="1542"/>
      <c r="K106" s="1542"/>
      <c r="L106" s="1542"/>
      <c r="M106" s="1542"/>
      <c r="N106" s="1542"/>
      <c r="O106" s="1542"/>
      <c r="P106" s="1544"/>
      <c r="Q106" s="1280" t="s">
        <v>769</v>
      </c>
      <c r="R106" s="1201"/>
      <c r="S106" s="1201"/>
      <c r="T106" s="1201"/>
      <c r="U106" s="1202"/>
      <c r="V106" s="1545"/>
      <c r="W106" s="1546"/>
      <c r="X106" s="1547"/>
      <c r="Y106" s="1546"/>
      <c r="Z106" s="1548"/>
      <c r="AA106" s="1549"/>
      <c r="AB106" s="1515" t="s">
        <v>575</v>
      </c>
      <c r="AC106" s="1516"/>
      <c r="AD106" s="1516"/>
      <c r="AE106" s="1516"/>
      <c r="AF106" s="1516"/>
      <c r="AG106" s="1516"/>
      <c r="AH106" s="1516"/>
      <c r="AI106" s="1516"/>
      <c r="AJ106" s="1516"/>
      <c r="AK106" s="1516"/>
      <c r="AL106" s="1516"/>
      <c r="AM106" s="1516"/>
      <c r="AN106" s="1516"/>
      <c r="AO106" s="1516"/>
      <c r="AP106" s="1516"/>
      <c r="AQ106" s="1516"/>
      <c r="AR106" s="1516"/>
      <c r="AS106" s="1516"/>
      <c r="AT106" s="1517"/>
      <c r="AU106" s="122"/>
    </row>
    <row r="107" spans="1:74" ht="18.649999999999999" customHeight="1">
      <c r="A107" s="111"/>
      <c r="B107" s="181"/>
      <c r="C107" s="1242"/>
      <c r="D107" s="1243"/>
      <c r="E107" s="1243"/>
      <c r="F107" s="1243"/>
      <c r="G107" s="1243"/>
      <c r="H107" s="1244"/>
      <c r="I107" s="1543"/>
      <c r="J107" s="1533"/>
      <c r="K107" s="1533"/>
      <c r="L107" s="1533"/>
      <c r="M107" s="1533"/>
      <c r="N107" s="1533"/>
      <c r="O107" s="1533"/>
      <c r="P107" s="1534"/>
      <c r="Q107" s="1281"/>
      <c r="R107" s="1243"/>
      <c r="S107" s="1243"/>
      <c r="T107" s="1243"/>
      <c r="U107" s="1244"/>
      <c r="V107" s="1498"/>
      <c r="W107" s="1530"/>
      <c r="X107" s="1529"/>
      <c r="Y107" s="1530"/>
      <c r="Z107" s="1533"/>
      <c r="AA107" s="1534"/>
      <c r="AB107" s="1518"/>
      <c r="AC107" s="1519"/>
      <c r="AD107" s="1519"/>
      <c r="AE107" s="1519"/>
      <c r="AF107" s="1519"/>
      <c r="AG107" s="1519"/>
      <c r="AH107" s="1519"/>
      <c r="AI107" s="1519"/>
      <c r="AJ107" s="1519"/>
      <c r="AK107" s="1519"/>
      <c r="AL107" s="1519"/>
      <c r="AM107" s="1519"/>
      <c r="AN107" s="1519"/>
      <c r="AO107" s="1519"/>
      <c r="AP107" s="1519"/>
      <c r="AQ107" s="1519"/>
      <c r="AR107" s="1519"/>
      <c r="AS107" s="1519"/>
      <c r="AT107" s="1520"/>
      <c r="AU107" s="122"/>
    </row>
    <row r="108" spans="1:74" ht="18.649999999999999" customHeight="1">
      <c r="A108" s="111"/>
      <c r="B108" s="181"/>
      <c r="C108" s="1333" t="s">
        <v>576</v>
      </c>
      <c r="D108" s="1328"/>
      <c r="E108" s="1328"/>
      <c r="F108" s="1328"/>
      <c r="G108" s="1328"/>
      <c r="H108" s="1328"/>
      <c r="I108" s="1521"/>
      <c r="J108" s="1523" t="s">
        <v>577</v>
      </c>
      <c r="K108" s="1523"/>
      <c r="L108" s="329"/>
      <c r="M108" s="1523"/>
      <c r="N108" s="1523" t="s">
        <v>578</v>
      </c>
      <c r="O108" s="1523"/>
      <c r="P108" s="1525"/>
      <c r="Q108" s="1328" t="s">
        <v>770</v>
      </c>
      <c r="R108" s="1328"/>
      <c r="S108" s="1328"/>
      <c r="T108" s="1328"/>
      <c r="U108" s="1329"/>
      <c r="V108" s="1556"/>
      <c r="W108" s="1528"/>
      <c r="X108" s="1527"/>
      <c r="Y108" s="1528"/>
      <c r="Z108" s="1527"/>
      <c r="AA108" s="1528"/>
      <c r="AB108" s="1527"/>
      <c r="AC108" s="1528"/>
      <c r="AD108" s="1527"/>
      <c r="AE108" s="1528"/>
      <c r="AF108" s="1527"/>
      <c r="AG108" s="1528"/>
      <c r="AH108" s="1531"/>
      <c r="AI108" s="1532"/>
      <c r="AJ108" s="1535" t="s">
        <v>1233</v>
      </c>
      <c r="AK108" s="1536"/>
      <c r="AL108" s="1536"/>
      <c r="AM108" s="1536"/>
      <c r="AN108" s="1536"/>
      <c r="AO108" s="1536"/>
      <c r="AP108" s="1536"/>
      <c r="AQ108" s="1536"/>
      <c r="AR108" s="1536"/>
      <c r="AS108" s="1536"/>
      <c r="AT108" s="1537"/>
      <c r="AU108" s="122"/>
      <c r="AV108" s="114">
        <v>0</v>
      </c>
    </row>
    <row r="109" spans="1:74" ht="18.649999999999999" customHeight="1">
      <c r="A109" s="111"/>
      <c r="B109" s="181"/>
      <c r="C109" s="1242"/>
      <c r="D109" s="1243"/>
      <c r="E109" s="1243"/>
      <c r="F109" s="1243"/>
      <c r="G109" s="1243"/>
      <c r="H109" s="1243"/>
      <c r="I109" s="1522"/>
      <c r="J109" s="1524"/>
      <c r="K109" s="1524"/>
      <c r="L109" s="328"/>
      <c r="M109" s="1524"/>
      <c r="N109" s="1524"/>
      <c r="O109" s="1524"/>
      <c r="P109" s="1526"/>
      <c r="Q109" s="1243"/>
      <c r="R109" s="1243"/>
      <c r="S109" s="1243"/>
      <c r="T109" s="1243"/>
      <c r="U109" s="1244"/>
      <c r="V109" s="1498"/>
      <c r="W109" s="1530"/>
      <c r="X109" s="1529"/>
      <c r="Y109" s="1530"/>
      <c r="Z109" s="1529"/>
      <c r="AA109" s="1530"/>
      <c r="AB109" s="1529"/>
      <c r="AC109" s="1530"/>
      <c r="AD109" s="1529"/>
      <c r="AE109" s="1530"/>
      <c r="AF109" s="1529"/>
      <c r="AG109" s="1530"/>
      <c r="AH109" s="1533"/>
      <c r="AI109" s="1534"/>
      <c r="AJ109" s="1538"/>
      <c r="AK109" s="1539"/>
      <c r="AL109" s="1539"/>
      <c r="AM109" s="1539"/>
      <c r="AN109" s="1539"/>
      <c r="AO109" s="1539"/>
      <c r="AP109" s="1539"/>
      <c r="AQ109" s="1539"/>
      <c r="AR109" s="1539"/>
      <c r="AS109" s="1539"/>
      <c r="AT109" s="1540"/>
      <c r="AU109" s="122"/>
    </row>
    <row r="110" spans="1:74" ht="18.649999999999999" customHeight="1">
      <c r="A110" s="111"/>
      <c r="B110" s="181"/>
      <c r="C110" s="1150" t="s">
        <v>579</v>
      </c>
      <c r="D110" s="1151"/>
      <c r="E110" s="1151"/>
      <c r="F110" s="1151"/>
      <c r="G110" s="1151"/>
      <c r="H110" s="1152"/>
      <c r="I110" s="1177"/>
      <c r="J110" s="1178"/>
      <c r="K110" s="1178"/>
      <c r="L110" s="1178"/>
      <c r="M110" s="1178"/>
      <c r="N110" s="1178"/>
      <c r="O110" s="1178"/>
      <c r="P110" s="1178"/>
      <c r="Q110" s="1178"/>
      <c r="R110" s="1178"/>
      <c r="S110" s="1178"/>
      <c r="T110" s="1178"/>
      <c r="U110" s="1178"/>
      <c r="V110" s="1178"/>
      <c r="W110" s="1178"/>
      <c r="X110" s="1178"/>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c r="AR110" s="1178"/>
      <c r="AS110" s="1178"/>
      <c r="AT110" s="1179"/>
      <c r="AU110" s="122"/>
    </row>
    <row r="111" spans="1:74" ht="18.649999999999999" customHeight="1">
      <c r="A111" s="111"/>
      <c r="B111" s="181"/>
      <c r="C111" s="1167"/>
      <c r="D111" s="1144"/>
      <c r="E111" s="1144"/>
      <c r="F111" s="1144"/>
      <c r="G111" s="1144"/>
      <c r="H111" s="1145"/>
      <c r="I111" s="1180"/>
      <c r="J111" s="1181"/>
      <c r="K111" s="1181"/>
      <c r="L111" s="1181"/>
      <c r="M111" s="1181"/>
      <c r="N111" s="1181"/>
      <c r="O111" s="1181"/>
      <c r="P111" s="1181"/>
      <c r="Q111" s="1181"/>
      <c r="R111" s="1181"/>
      <c r="S111" s="1181"/>
      <c r="T111" s="1181"/>
      <c r="U111" s="1181"/>
      <c r="V111" s="1181"/>
      <c r="W111" s="1181"/>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181"/>
      <c r="AS111" s="1181"/>
      <c r="AT111" s="1182"/>
      <c r="AU111" s="122"/>
    </row>
    <row r="112" spans="1:74" ht="18.649999999999999" customHeight="1">
      <c r="A112" s="111"/>
      <c r="B112" s="181"/>
      <c r="C112" s="1333" t="s">
        <v>771</v>
      </c>
      <c r="D112" s="1328"/>
      <c r="E112" s="1328"/>
      <c r="F112" s="1328"/>
      <c r="G112" s="1328"/>
      <c r="H112" s="1329"/>
      <c r="I112" s="1550"/>
      <c r="J112" s="1551"/>
      <c r="K112" s="1551"/>
      <c r="L112" s="1551"/>
      <c r="M112" s="1551"/>
      <c r="N112" s="1551"/>
      <c r="O112" s="1551"/>
      <c r="P112" s="1551"/>
      <c r="Q112" s="1551"/>
      <c r="R112" s="1551"/>
      <c r="S112" s="1551"/>
      <c r="T112" s="1551"/>
      <c r="U112" s="1551"/>
      <c r="V112" s="1551"/>
      <c r="W112" s="1551"/>
      <c r="X112" s="1551"/>
      <c r="Y112" s="1551"/>
      <c r="Z112" s="1551"/>
      <c r="AA112" s="1551"/>
      <c r="AB112" s="1551"/>
      <c r="AC112" s="1551"/>
      <c r="AD112" s="1551"/>
      <c r="AE112" s="1551"/>
      <c r="AF112" s="1551"/>
      <c r="AG112" s="1551"/>
      <c r="AH112" s="1551"/>
      <c r="AI112" s="1551"/>
      <c r="AJ112" s="1551"/>
      <c r="AK112" s="1551"/>
      <c r="AL112" s="1551"/>
      <c r="AM112" s="1551"/>
      <c r="AN112" s="1551"/>
      <c r="AO112" s="1551"/>
      <c r="AP112" s="1551"/>
      <c r="AQ112" s="1551"/>
      <c r="AR112" s="1551"/>
      <c r="AS112" s="1551"/>
      <c r="AT112" s="1552"/>
      <c r="AU112" s="122"/>
    </row>
    <row r="113" spans="1:52" ht="18.649999999999999" customHeight="1" thickBot="1">
      <c r="A113" s="111"/>
      <c r="B113" s="181"/>
      <c r="C113" s="1203"/>
      <c r="D113" s="1204"/>
      <c r="E113" s="1204"/>
      <c r="F113" s="1204"/>
      <c r="G113" s="1204"/>
      <c r="H113" s="1205"/>
      <c r="I113" s="1553"/>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554"/>
      <c r="AR113" s="1554"/>
      <c r="AS113" s="1554"/>
      <c r="AT113" s="1555"/>
      <c r="AU113" s="122"/>
    </row>
    <row r="114" spans="1:52" ht="18.649999999999999" customHeight="1">
      <c r="A114" s="113"/>
      <c r="B114" s="18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22"/>
    </row>
    <row r="115" spans="1:52" ht="18.649999999999999" customHeight="1">
      <c r="A115" s="113"/>
      <c r="B115" s="181"/>
      <c r="C115" s="111"/>
      <c r="D115" s="111"/>
      <c r="E115" s="111"/>
      <c r="F115" s="111"/>
      <c r="G115" s="111"/>
      <c r="H115" s="111"/>
      <c r="I115" s="111"/>
      <c r="J115" s="111"/>
      <c r="K115" s="111"/>
      <c r="L115" s="111"/>
      <c r="M115" s="1494" t="s">
        <v>947</v>
      </c>
      <c r="N115" s="1136"/>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22"/>
    </row>
    <row r="116" spans="1:52" ht="18.649999999999999" customHeight="1" thickBot="1">
      <c r="A116" s="113"/>
      <c r="B116" s="181"/>
      <c r="C116" s="111"/>
      <c r="D116" s="111"/>
      <c r="E116" s="111"/>
      <c r="F116" s="111"/>
      <c r="G116" s="111"/>
      <c r="H116" s="111"/>
      <c r="I116" s="111"/>
      <c r="J116" s="111"/>
      <c r="K116" s="111"/>
      <c r="L116" s="111"/>
      <c r="M116" s="1137"/>
      <c r="N116" s="1137"/>
      <c r="O116" s="1137"/>
      <c r="P116" s="1137"/>
      <c r="Q116" s="1137"/>
      <c r="R116" s="1137"/>
      <c r="S116" s="1137"/>
      <c r="T116" s="1137"/>
      <c r="U116" s="1137"/>
      <c r="V116" s="1137"/>
      <c r="W116" s="1137"/>
      <c r="X116" s="1137"/>
      <c r="Y116" s="1137"/>
      <c r="Z116" s="1137"/>
      <c r="AA116" s="1137"/>
      <c r="AB116" s="1137"/>
      <c r="AC116" s="1137"/>
      <c r="AD116" s="1137"/>
      <c r="AE116" s="1137"/>
      <c r="AF116" s="1137"/>
      <c r="AG116" s="1137"/>
      <c r="AH116" s="1137"/>
      <c r="AI116" s="1137"/>
      <c r="AJ116" s="1137"/>
      <c r="AK116" s="1137"/>
      <c r="AL116" s="1137"/>
      <c r="AM116" s="1137"/>
      <c r="AN116" s="1137"/>
      <c r="AO116" s="1137"/>
      <c r="AP116" s="1137"/>
      <c r="AQ116" s="1137"/>
      <c r="AR116" s="1137"/>
      <c r="AS116" s="1137"/>
      <c r="AT116" s="1137"/>
      <c r="AU116" s="122"/>
    </row>
    <row r="117" spans="1:52" ht="18.649999999999999" customHeight="1">
      <c r="A117" s="113"/>
      <c r="B117" s="181">
        <f>IF(OR(I117="",Q117="",I118="",Q118="",AE118="",AK118="",AP118="",AE120="",I124="",Q124="",I125="",Q125="",AE125="",AK125="",AP125="",AE127="",AV127="NG",AV120="NG",AV128=0),1,0)</f>
        <v>1</v>
      </c>
      <c r="C117" s="1258" t="s">
        <v>772</v>
      </c>
      <c r="D117" s="1259"/>
      <c r="E117" s="1259"/>
      <c r="F117" s="1259"/>
      <c r="G117" s="1259"/>
      <c r="H117" s="1260"/>
      <c r="I117" s="2644"/>
      <c r="J117" s="2645"/>
      <c r="K117" s="2645"/>
      <c r="L117" s="2645"/>
      <c r="M117" s="2645"/>
      <c r="N117" s="2645"/>
      <c r="O117" s="2645"/>
      <c r="P117" s="2646"/>
      <c r="Q117" s="2645"/>
      <c r="R117" s="2645"/>
      <c r="S117" s="2645"/>
      <c r="T117" s="2645"/>
      <c r="U117" s="2645"/>
      <c r="V117" s="2645"/>
      <c r="W117" s="2645"/>
      <c r="X117" s="2645"/>
      <c r="Y117" s="2647"/>
      <c r="Z117" s="1560" t="s">
        <v>555</v>
      </c>
      <c r="AA117" s="1560"/>
      <c r="AB117" s="1560"/>
      <c r="AC117" s="1560"/>
      <c r="AD117" s="1560"/>
      <c r="AE117" s="2719"/>
      <c r="AF117" s="2719"/>
      <c r="AG117" s="2719"/>
      <c r="AH117" s="2719"/>
      <c r="AI117" s="2719"/>
      <c r="AJ117" s="2719"/>
      <c r="AK117" s="2719"/>
      <c r="AL117" s="2719"/>
      <c r="AM117" s="2719"/>
      <c r="AN117" s="2719"/>
      <c r="AO117" s="2719"/>
      <c r="AP117" s="2719"/>
      <c r="AQ117" s="2719"/>
      <c r="AR117" s="2719"/>
      <c r="AS117" s="2719"/>
      <c r="AT117" s="2720"/>
      <c r="AU117" s="122"/>
    </row>
    <row r="118" spans="1:52" ht="18.649999999999999" customHeight="1">
      <c r="A118" s="113"/>
      <c r="B118" s="181"/>
      <c r="C118" s="1387" t="s">
        <v>557</v>
      </c>
      <c r="D118" s="1388"/>
      <c r="E118" s="1388"/>
      <c r="F118" s="1388"/>
      <c r="G118" s="1388"/>
      <c r="H118" s="1389"/>
      <c r="I118" s="2648"/>
      <c r="J118" s="2649"/>
      <c r="K118" s="2649"/>
      <c r="L118" s="2649"/>
      <c r="M118" s="2649"/>
      <c r="N118" s="2649"/>
      <c r="O118" s="2649"/>
      <c r="P118" s="2650"/>
      <c r="Q118" s="2649"/>
      <c r="R118" s="2649"/>
      <c r="S118" s="2649"/>
      <c r="T118" s="2649"/>
      <c r="U118" s="2649"/>
      <c r="V118" s="2649"/>
      <c r="W118" s="2649"/>
      <c r="X118" s="2649"/>
      <c r="Y118" s="2657"/>
      <c r="Z118" s="1459" t="s">
        <v>838</v>
      </c>
      <c r="AA118" s="1459"/>
      <c r="AB118" s="1459"/>
      <c r="AC118" s="1459"/>
      <c r="AD118" s="1459"/>
      <c r="AE118" s="1298"/>
      <c r="AF118" s="1299"/>
      <c r="AG118" s="1299"/>
      <c r="AH118" s="1299"/>
      <c r="AI118" s="1299"/>
      <c r="AJ118" s="995" t="s">
        <v>1231</v>
      </c>
      <c r="AK118" s="1299"/>
      <c r="AL118" s="1299"/>
      <c r="AM118" s="1299"/>
      <c r="AN118" s="1299"/>
      <c r="AO118" s="995" t="s">
        <v>1232</v>
      </c>
      <c r="AP118" s="1299"/>
      <c r="AQ118" s="1299"/>
      <c r="AR118" s="1299"/>
      <c r="AS118" s="1299"/>
      <c r="AT118" s="1304"/>
      <c r="AU118" s="122"/>
      <c r="AV118" s="114" t="str">
        <f>IF(AND(AE118&lt;&gt;"",AK118&lt;&gt;"",AP118&lt;&gt;""),IF(LENB(AE118)+LENB(AK118)+LENB(AP118)&lt;13,"OK","NG"),"OK")</f>
        <v>OK</v>
      </c>
    </row>
    <row r="119" spans="1:52" ht="18.649999999999999" customHeight="1">
      <c r="A119" s="113"/>
      <c r="B119" s="181"/>
      <c r="C119" s="1200"/>
      <c r="D119" s="1201"/>
      <c r="E119" s="1201"/>
      <c r="F119" s="1201"/>
      <c r="G119" s="1201"/>
      <c r="H119" s="1202"/>
      <c r="I119" s="2651"/>
      <c r="J119" s="2652"/>
      <c r="K119" s="2652"/>
      <c r="L119" s="2652"/>
      <c r="M119" s="2652"/>
      <c r="N119" s="2652"/>
      <c r="O119" s="2652"/>
      <c r="P119" s="2653"/>
      <c r="Q119" s="2652"/>
      <c r="R119" s="2652"/>
      <c r="S119" s="2652"/>
      <c r="T119" s="2652"/>
      <c r="U119" s="2652"/>
      <c r="V119" s="2652"/>
      <c r="W119" s="2652"/>
      <c r="X119" s="2652"/>
      <c r="Y119" s="2658"/>
      <c r="Z119" s="1459" t="s">
        <v>399</v>
      </c>
      <c r="AA119" s="1459"/>
      <c r="AB119" s="1459"/>
      <c r="AC119" s="1459"/>
      <c r="AD119" s="1459"/>
      <c r="AE119" s="1298"/>
      <c r="AF119" s="1299"/>
      <c r="AG119" s="1299"/>
      <c r="AH119" s="1299"/>
      <c r="AI119" s="1299"/>
      <c r="AJ119" s="995" t="s">
        <v>1231</v>
      </c>
      <c r="AK119" s="1299"/>
      <c r="AL119" s="1299"/>
      <c r="AM119" s="1299"/>
      <c r="AN119" s="1299"/>
      <c r="AO119" s="995" t="s">
        <v>1182</v>
      </c>
      <c r="AP119" s="1299"/>
      <c r="AQ119" s="1299"/>
      <c r="AR119" s="1299"/>
      <c r="AS119" s="1299"/>
      <c r="AT119" s="1304"/>
      <c r="AU119" s="122"/>
      <c r="AV119" s="114" t="str">
        <f>IF(AND(AE119&lt;&gt;"",AK119&lt;&gt;"",AP119&lt;&gt;""),IF(LENB(AE119)+LENB(AK119)+LENB(AP119)&lt;13,"OK","NG"),"OK")</f>
        <v>OK</v>
      </c>
    </row>
    <row r="120" spans="1:52" ht="18.649999999999999" customHeight="1">
      <c r="A120" s="113"/>
      <c r="B120" s="181"/>
      <c r="C120" s="1242"/>
      <c r="D120" s="1243"/>
      <c r="E120" s="1243"/>
      <c r="F120" s="1243"/>
      <c r="G120" s="1243"/>
      <c r="H120" s="1244"/>
      <c r="I120" s="2654"/>
      <c r="J120" s="2655"/>
      <c r="K120" s="2655"/>
      <c r="L120" s="2655"/>
      <c r="M120" s="2655"/>
      <c r="N120" s="2655"/>
      <c r="O120" s="2655"/>
      <c r="P120" s="2656"/>
      <c r="Q120" s="2655"/>
      <c r="R120" s="2655"/>
      <c r="S120" s="2655"/>
      <c r="T120" s="2655"/>
      <c r="U120" s="2655"/>
      <c r="V120" s="2655"/>
      <c r="W120" s="2655"/>
      <c r="X120" s="2655"/>
      <c r="Y120" s="2659"/>
      <c r="Z120" s="1459" t="s">
        <v>773</v>
      </c>
      <c r="AA120" s="1459"/>
      <c r="AB120" s="1459"/>
      <c r="AC120" s="1459"/>
      <c r="AD120" s="1459"/>
      <c r="AE120" s="2707"/>
      <c r="AF120" s="2708"/>
      <c r="AG120" s="2708"/>
      <c r="AH120" s="2708"/>
      <c r="AI120" s="2708"/>
      <c r="AJ120" s="2708"/>
      <c r="AK120" s="2708"/>
      <c r="AL120" s="2708"/>
      <c r="AM120" s="2708"/>
      <c r="AN120" s="2708"/>
      <c r="AO120" s="2708"/>
      <c r="AP120" s="2708"/>
      <c r="AQ120" s="2708"/>
      <c r="AR120" s="2708"/>
      <c r="AS120" s="2708"/>
      <c r="AT120" s="2709"/>
      <c r="AU120" s="122"/>
      <c r="AV120" s="114" t="str">
        <f>IF(ISERROR(FIND("@",AE120,FIND("@",AE120,1)+1)),"OK","NG")</f>
        <v>OK</v>
      </c>
      <c r="AW120" s="500" t="str">
        <f>IF(AND(AX120="OK",AY120="OK",AZ120="OK"),"OK","NG")</f>
        <v>NG</v>
      </c>
      <c r="AX120" s="114" t="str">
        <f>IF(COUNTIF(AE120,"*@*"),"OK","NG")</f>
        <v>NG</v>
      </c>
      <c r="AY120" s="114" t="str">
        <f>IF(LEFT(AE120,1)="@","NG","OK")</f>
        <v>OK</v>
      </c>
      <c r="AZ120" s="500" t="str">
        <f>IF(ISERR(FIND(";",AE120)),"OK","NG")</f>
        <v>OK</v>
      </c>
    </row>
    <row r="121" spans="1:52" ht="18.649999999999999" hidden="1" customHeight="1">
      <c r="A121" s="113" t="s">
        <v>3838</v>
      </c>
      <c r="B121" s="181"/>
      <c r="C121" s="1245" t="s">
        <v>772</v>
      </c>
      <c r="D121" s="1246"/>
      <c r="E121" s="1246"/>
      <c r="F121" s="1246"/>
      <c r="G121" s="1246"/>
      <c r="H121" s="1247"/>
      <c r="I121" s="1579"/>
      <c r="J121" s="1580"/>
      <c r="K121" s="1580"/>
      <c r="L121" s="1580"/>
      <c r="M121" s="1580"/>
      <c r="N121" s="1580"/>
      <c r="O121" s="1580"/>
      <c r="P121" s="1580"/>
      <c r="Q121" s="1580"/>
      <c r="R121" s="1580"/>
      <c r="S121" s="1580"/>
      <c r="T121" s="1580"/>
      <c r="U121" s="1580"/>
      <c r="V121" s="1580"/>
      <c r="W121" s="1580"/>
      <c r="X121" s="1580"/>
      <c r="Y121" s="1581"/>
      <c r="Z121" s="1459" t="s">
        <v>555</v>
      </c>
      <c r="AA121" s="1459"/>
      <c r="AB121" s="1459"/>
      <c r="AC121" s="1459"/>
      <c r="AD121" s="1459"/>
      <c r="AE121" s="2715"/>
      <c r="AF121" s="2715"/>
      <c r="AG121" s="2715"/>
      <c r="AH121" s="2715"/>
      <c r="AI121" s="2715"/>
      <c r="AJ121" s="2715"/>
      <c r="AK121" s="2715"/>
      <c r="AL121" s="2715"/>
      <c r="AM121" s="2715"/>
      <c r="AN121" s="2715"/>
      <c r="AO121" s="2715"/>
      <c r="AP121" s="2715"/>
      <c r="AQ121" s="2715"/>
      <c r="AR121" s="2715"/>
      <c r="AS121" s="2715"/>
      <c r="AT121" s="2716"/>
      <c r="AU121" s="122"/>
      <c r="AZ121" s="340" t="s">
        <v>1073</v>
      </c>
    </row>
    <row r="122" spans="1:52" ht="18.649999999999999" hidden="1" customHeight="1">
      <c r="A122" s="113" t="s">
        <v>3838</v>
      </c>
      <c r="B122" s="181"/>
      <c r="C122" s="1387" t="s">
        <v>560</v>
      </c>
      <c r="D122" s="1388"/>
      <c r="E122" s="1388"/>
      <c r="F122" s="1388"/>
      <c r="G122" s="1388"/>
      <c r="H122" s="1389"/>
      <c r="I122" s="1582"/>
      <c r="J122" s="1583"/>
      <c r="K122" s="1583"/>
      <c r="L122" s="1583"/>
      <c r="M122" s="1583"/>
      <c r="N122" s="1583"/>
      <c r="O122" s="1583"/>
      <c r="P122" s="1583"/>
      <c r="Q122" s="1583"/>
      <c r="R122" s="1583"/>
      <c r="S122" s="1583"/>
      <c r="T122" s="1583"/>
      <c r="U122" s="1583"/>
      <c r="V122" s="1583"/>
      <c r="W122" s="1583"/>
      <c r="X122" s="1583"/>
      <c r="Y122" s="1584"/>
      <c r="Z122" s="1459" t="s">
        <v>398</v>
      </c>
      <c r="AA122" s="1459"/>
      <c r="AB122" s="1459"/>
      <c r="AC122" s="1459"/>
      <c r="AD122" s="1459"/>
      <c r="AE122" s="1298"/>
      <c r="AF122" s="1299"/>
      <c r="AG122" s="1299"/>
      <c r="AH122" s="1299"/>
      <c r="AI122" s="1299"/>
      <c r="AJ122" s="995" t="s">
        <v>1182</v>
      </c>
      <c r="AK122" s="1299"/>
      <c r="AL122" s="1299"/>
      <c r="AM122" s="1299"/>
      <c r="AN122" s="1299"/>
      <c r="AO122" s="995" t="s">
        <v>1182</v>
      </c>
      <c r="AP122" s="1299"/>
      <c r="AQ122" s="1299"/>
      <c r="AR122" s="1299"/>
      <c r="AS122" s="1299"/>
      <c r="AT122" s="1304"/>
      <c r="AU122" s="122"/>
      <c r="AV122" s="114" t="str">
        <f>IF(AND(AE122&lt;&gt;"",AK122&lt;&gt;"",AP122&lt;&gt;""),IF(LENB(AE122)+LENB(AK122)+LENB(AP122)&lt;13,"OK","NG"),"OK")</f>
        <v>OK</v>
      </c>
      <c r="AZ122" s="340" t="s">
        <v>1073</v>
      </c>
    </row>
    <row r="123" spans="1:52" ht="18.649999999999999" hidden="1" customHeight="1">
      <c r="A123" s="113" t="s">
        <v>3838</v>
      </c>
      <c r="B123" s="181"/>
      <c r="C123" s="1242"/>
      <c r="D123" s="1243"/>
      <c r="E123" s="1243"/>
      <c r="F123" s="1243"/>
      <c r="G123" s="1243"/>
      <c r="H123" s="1244"/>
      <c r="I123" s="1585"/>
      <c r="J123" s="1586"/>
      <c r="K123" s="1586"/>
      <c r="L123" s="1586"/>
      <c r="M123" s="1586"/>
      <c r="N123" s="1586"/>
      <c r="O123" s="1586"/>
      <c r="P123" s="1586"/>
      <c r="Q123" s="1586"/>
      <c r="R123" s="1586"/>
      <c r="S123" s="1586"/>
      <c r="T123" s="1586"/>
      <c r="U123" s="1586"/>
      <c r="V123" s="1586"/>
      <c r="W123" s="1586"/>
      <c r="X123" s="1586"/>
      <c r="Y123" s="1587"/>
      <c r="Z123" s="1459" t="s">
        <v>773</v>
      </c>
      <c r="AA123" s="1459"/>
      <c r="AB123" s="1459"/>
      <c r="AC123" s="1459"/>
      <c r="AD123" s="1459"/>
      <c r="AE123" s="2714"/>
      <c r="AF123" s="2715"/>
      <c r="AG123" s="2715"/>
      <c r="AH123" s="2715"/>
      <c r="AI123" s="2715"/>
      <c r="AJ123" s="2715"/>
      <c r="AK123" s="2715"/>
      <c r="AL123" s="2715"/>
      <c r="AM123" s="2715"/>
      <c r="AN123" s="2715"/>
      <c r="AO123" s="2715"/>
      <c r="AP123" s="2715"/>
      <c r="AQ123" s="2715"/>
      <c r="AR123" s="2715"/>
      <c r="AS123" s="2715"/>
      <c r="AT123" s="2716"/>
      <c r="AU123" s="122"/>
      <c r="AZ123" s="340" t="s">
        <v>1073</v>
      </c>
    </row>
    <row r="124" spans="1:52" ht="18.649999999999999" customHeight="1">
      <c r="A124" s="113"/>
      <c r="B124" s="181"/>
      <c r="C124" s="1245" t="s">
        <v>772</v>
      </c>
      <c r="D124" s="1246"/>
      <c r="E124" s="1246"/>
      <c r="F124" s="1246"/>
      <c r="G124" s="1246"/>
      <c r="H124" s="1247"/>
      <c r="I124" s="2662"/>
      <c r="J124" s="2660"/>
      <c r="K124" s="2660"/>
      <c r="L124" s="2660"/>
      <c r="M124" s="2660"/>
      <c r="N124" s="2660"/>
      <c r="O124" s="2660"/>
      <c r="P124" s="2663"/>
      <c r="Q124" s="2660"/>
      <c r="R124" s="2660"/>
      <c r="S124" s="2660"/>
      <c r="T124" s="2660"/>
      <c r="U124" s="2660"/>
      <c r="V124" s="2660"/>
      <c r="W124" s="2660"/>
      <c r="X124" s="2660"/>
      <c r="Y124" s="2661"/>
      <c r="Z124" s="1576" t="s">
        <v>555</v>
      </c>
      <c r="AA124" s="1576"/>
      <c r="AB124" s="1576"/>
      <c r="AC124" s="1576"/>
      <c r="AD124" s="1576"/>
      <c r="AE124" s="2717"/>
      <c r="AF124" s="2717"/>
      <c r="AG124" s="2717"/>
      <c r="AH124" s="2717"/>
      <c r="AI124" s="2717"/>
      <c r="AJ124" s="2717"/>
      <c r="AK124" s="2717"/>
      <c r="AL124" s="2717"/>
      <c r="AM124" s="2717"/>
      <c r="AN124" s="2717"/>
      <c r="AO124" s="2717"/>
      <c r="AP124" s="2717"/>
      <c r="AQ124" s="2717"/>
      <c r="AR124" s="2717"/>
      <c r="AS124" s="2717"/>
      <c r="AT124" s="2718"/>
      <c r="AU124" s="122"/>
    </row>
    <row r="125" spans="1:52" ht="18.649999999999999" customHeight="1">
      <c r="A125" s="113"/>
      <c r="B125" s="181"/>
      <c r="C125" s="1174" t="s">
        <v>562</v>
      </c>
      <c r="D125" s="1175"/>
      <c r="E125" s="1175"/>
      <c r="F125" s="1175"/>
      <c r="G125" s="1175"/>
      <c r="H125" s="1176"/>
      <c r="I125" s="2648"/>
      <c r="J125" s="2649"/>
      <c r="K125" s="2649"/>
      <c r="L125" s="2649"/>
      <c r="M125" s="2649"/>
      <c r="N125" s="2649"/>
      <c r="O125" s="2649"/>
      <c r="P125" s="2650"/>
      <c r="Q125" s="2649"/>
      <c r="R125" s="2649"/>
      <c r="S125" s="2649"/>
      <c r="T125" s="2649"/>
      <c r="U125" s="2649"/>
      <c r="V125" s="2649"/>
      <c r="W125" s="2649"/>
      <c r="X125" s="2649"/>
      <c r="Y125" s="2657"/>
      <c r="Z125" s="1301" t="s">
        <v>398</v>
      </c>
      <c r="AA125" s="1302"/>
      <c r="AB125" s="1302"/>
      <c r="AC125" s="1302"/>
      <c r="AD125" s="1303"/>
      <c r="AE125" s="1298"/>
      <c r="AF125" s="1299"/>
      <c r="AG125" s="1299"/>
      <c r="AH125" s="1299"/>
      <c r="AI125" s="1299"/>
      <c r="AJ125" s="995" t="s">
        <v>1231</v>
      </c>
      <c r="AK125" s="1299"/>
      <c r="AL125" s="1299"/>
      <c r="AM125" s="1299"/>
      <c r="AN125" s="1299"/>
      <c r="AO125" s="995" t="s">
        <v>1232</v>
      </c>
      <c r="AP125" s="1299"/>
      <c r="AQ125" s="1299"/>
      <c r="AR125" s="1299"/>
      <c r="AS125" s="1299"/>
      <c r="AT125" s="1304"/>
      <c r="AU125" s="122"/>
      <c r="AV125" s="114" t="str">
        <f>IF(AND(AE125&lt;&gt;"",AK125&lt;&gt;"",AP125&lt;&gt;""),IF(LENB(AE125)+LENB(AK125)+LENB(AP125)&lt;13,"OK","NG"),"OK")</f>
        <v>OK</v>
      </c>
    </row>
    <row r="126" spans="1:52" ht="18.649999999999999" customHeight="1">
      <c r="A126" s="113"/>
      <c r="B126" s="181"/>
      <c r="C126" s="1150"/>
      <c r="D126" s="1151"/>
      <c r="E126" s="1151"/>
      <c r="F126" s="1151"/>
      <c r="G126" s="1151"/>
      <c r="H126" s="1152"/>
      <c r="I126" s="2651"/>
      <c r="J126" s="2652"/>
      <c r="K126" s="2652"/>
      <c r="L126" s="2652"/>
      <c r="M126" s="2652"/>
      <c r="N126" s="2652"/>
      <c r="O126" s="2652"/>
      <c r="P126" s="2653"/>
      <c r="Q126" s="2652"/>
      <c r="R126" s="2652"/>
      <c r="S126" s="2652"/>
      <c r="T126" s="2652"/>
      <c r="U126" s="2652"/>
      <c r="V126" s="2652"/>
      <c r="W126" s="2652"/>
      <c r="X126" s="2652"/>
      <c r="Y126" s="2658"/>
      <c r="Z126" s="1459" t="s">
        <v>399</v>
      </c>
      <c r="AA126" s="1459"/>
      <c r="AB126" s="1459"/>
      <c r="AC126" s="1459"/>
      <c r="AD126" s="1459"/>
      <c r="AE126" s="1298"/>
      <c r="AF126" s="1299"/>
      <c r="AG126" s="1299"/>
      <c r="AH126" s="1299"/>
      <c r="AI126" s="1299"/>
      <c r="AJ126" s="995" t="s">
        <v>1231</v>
      </c>
      <c r="AK126" s="1299"/>
      <c r="AL126" s="1299"/>
      <c r="AM126" s="1299"/>
      <c r="AN126" s="1299"/>
      <c r="AO126" s="995" t="s">
        <v>1182</v>
      </c>
      <c r="AP126" s="1299"/>
      <c r="AQ126" s="1299"/>
      <c r="AR126" s="1299"/>
      <c r="AS126" s="1299"/>
      <c r="AT126" s="1304"/>
      <c r="AU126" s="122"/>
      <c r="AV126" s="114" t="str">
        <f>IF(AND(AE126&lt;&gt;"",AK126&lt;&gt;"",AP126&lt;&gt;""),IF(LENB(AE126)+LENB(AK126)+LENB(AP126)&lt;13,"OK","NG"),"OK")</f>
        <v>OK</v>
      </c>
    </row>
    <row r="127" spans="1:52" ht="18.649999999999999" customHeight="1">
      <c r="A127" s="113"/>
      <c r="B127" s="181"/>
      <c r="C127" s="1167"/>
      <c r="D127" s="1144"/>
      <c r="E127" s="1144"/>
      <c r="F127" s="1144"/>
      <c r="G127" s="1144"/>
      <c r="H127" s="1145"/>
      <c r="I127" s="2654"/>
      <c r="J127" s="2655"/>
      <c r="K127" s="2655"/>
      <c r="L127" s="2655"/>
      <c r="M127" s="2655"/>
      <c r="N127" s="2655"/>
      <c r="O127" s="2655"/>
      <c r="P127" s="2656"/>
      <c r="Q127" s="2655"/>
      <c r="R127" s="2655"/>
      <c r="S127" s="2655"/>
      <c r="T127" s="2655"/>
      <c r="U127" s="2655"/>
      <c r="V127" s="2655"/>
      <c r="W127" s="2655"/>
      <c r="X127" s="2655"/>
      <c r="Y127" s="2659"/>
      <c r="Z127" s="1301" t="s">
        <v>773</v>
      </c>
      <c r="AA127" s="1302"/>
      <c r="AB127" s="1302"/>
      <c r="AC127" s="1302"/>
      <c r="AD127" s="1303"/>
      <c r="AE127" s="2707"/>
      <c r="AF127" s="2708"/>
      <c r="AG127" s="2708"/>
      <c r="AH127" s="2708"/>
      <c r="AI127" s="2708"/>
      <c r="AJ127" s="2708"/>
      <c r="AK127" s="2708"/>
      <c r="AL127" s="2708"/>
      <c r="AM127" s="2708"/>
      <c r="AN127" s="2708"/>
      <c r="AO127" s="2708"/>
      <c r="AP127" s="2708"/>
      <c r="AQ127" s="2708"/>
      <c r="AR127" s="2708"/>
      <c r="AS127" s="2708"/>
      <c r="AT127" s="2709"/>
      <c r="AU127" s="122"/>
      <c r="AV127" s="137" t="str">
        <f>IF(ISERROR(FIND("@",AE127,FIND("@",AE127,1)+1)),"OK","NG")</f>
        <v>OK</v>
      </c>
      <c r="AW127" s="500" t="str">
        <f>IF(AND(AX127="OK",AY127="OK",AZ127="OK"),"OK","NG")</f>
        <v>NG</v>
      </c>
      <c r="AX127" s="114" t="str">
        <f>IF(COUNTIF(AE127,"*@*"),"OK","NG")</f>
        <v>NG</v>
      </c>
      <c r="AY127" s="114" t="str">
        <f>IF(LEFT(AE127,1)="@","NG","OK")</f>
        <v>OK</v>
      </c>
      <c r="AZ127" s="500" t="str">
        <f>IF(ISERR(FIND(";",AE127)),"OK","NG")</f>
        <v>OK</v>
      </c>
    </row>
    <row r="128" spans="1:52" ht="18.649999999999999" customHeight="1" thickBot="1">
      <c r="A128" s="113"/>
      <c r="B128" s="181"/>
      <c r="C128" s="1164" t="s">
        <v>840</v>
      </c>
      <c r="D128" s="1165"/>
      <c r="E128" s="1165"/>
      <c r="F128" s="1165"/>
      <c r="G128" s="1165"/>
      <c r="H128" s="1166"/>
      <c r="I128" s="471"/>
      <c r="J128" s="472"/>
      <c r="K128" s="1601" t="s">
        <v>996</v>
      </c>
      <c r="L128" s="1601"/>
      <c r="M128" s="1601"/>
      <c r="N128" s="1601"/>
      <c r="O128" s="1601"/>
      <c r="P128" s="1601"/>
      <c r="Q128" s="1601"/>
      <c r="R128" s="1601"/>
      <c r="S128" s="1601"/>
      <c r="T128" s="1601"/>
      <c r="U128" s="472"/>
      <c r="V128" s="472"/>
      <c r="W128" s="1601" t="s">
        <v>841</v>
      </c>
      <c r="X128" s="1601"/>
      <c r="Y128" s="1601"/>
      <c r="Z128" s="1601"/>
      <c r="AA128" s="1601"/>
      <c r="AB128" s="1601"/>
      <c r="AC128" s="1601"/>
      <c r="AD128" s="1601"/>
      <c r="AE128" s="1601"/>
      <c r="AF128" s="1601"/>
      <c r="AG128" s="473"/>
      <c r="AH128" s="473"/>
      <c r="AI128" s="473"/>
      <c r="AJ128" s="473"/>
      <c r="AK128" s="473"/>
      <c r="AL128" s="473"/>
      <c r="AM128" s="473"/>
      <c r="AN128" s="473"/>
      <c r="AO128" s="473"/>
      <c r="AP128" s="473"/>
      <c r="AQ128" s="473"/>
      <c r="AR128" s="473"/>
      <c r="AS128" s="473"/>
      <c r="AT128" s="474"/>
      <c r="AU128" s="122"/>
      <c r="AV128" s="114">
        <v>0</v>
      </c>
    </row>
    <row r="129" spans="1:52" ht="18.649999999999999" hidden="1" customHeight="1">
      <c r="A129" s="113"/>
      <c r="B129" s="181"/>
      <c r="C129" s="1164" t="s">
        <v>839</v>
      </c>
      <c r="D129" s="1165"/>
      <c r="E129" s="1165"/>
      <c r="F129" s="1165"/>
      <c r="G129" s="1165"/>
      <c r="H129" s="1166"/>
      <c r="I129" s="475" t="s">
        <v>774</v>
      </c>
      <c r="J129" s="1602"/>
      <c r="K129" s="1602"/>
      <c r="L129" s="437" t="s">
        <v>775</v>
      </c>
      <c r="M129" s="1602"/>
      <c r="N129" s="1602"/>
      <c r="O129" s="1248"/>
      <c r="P129" s="1248"/>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603"/>
      <c r="AU129" s="122"/>
      <c r="AZ129" s="340" t="s">
        <v>1073</v>
      </c>
    </row>
    <row r="130" spans="1:52" ht="18.649999999999999" hidden="1" customHeight="1">
      <c r="A130" s="113"/>
      <c r="B130" s="181"/>
      <c r="C130" s="1150"/>
      <c r="D130" s="1151"/>
      <c r="E130" s="1151"/>
      <c r="F130" s="1151"/>
      <c r="G130" s="1151"/>
      <c r="H130" s="1152"/>
      <c r="I130" s="1177"/>
      <c r="J130" s="1178"/>
      <c r="K130" s="1178"/>
      <c r="L130" s="1178"/>
      <c r="M130" s="1178"/>
      <c r="N130" s="1178"/>
      <c r="O130" s="1178"/>
      <c r="P130" s="1178"/>
      <c r="Q130" s="1178"/>
      <c r="R130" s="1178"/>
      <c r="S130" s="1178"/>
      <c r="T130" s="1178"/>
      <c r="U130" s="1178"/>
      <c r="V130" s="1178"/>
      <c r="W130" s="1178"/>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178"/>
      <c r="AS130" s="1178"/>
      <c r="AT130" s="1179"/>
      <c r="AU130" s="122"/>
      <c r="AZ130" s="340" t="s">
        <v>1073</v>
      </c>
    </row>
    <row r="131" spans="1:52" ht="18.649999999999999" hidden="1" customHeight="1" thickBot="1">
      <c r="A131" s="113"/>
      <c r="B131" s="181"/>
      <c r="C131" s="1153"/>
      <c r="D131" s="1154"/>
      <c r="E131" s="1154"/>
      <c r="F131" s="1154"/>
      <c r="G131" s="1154"/>
      <c r="H131" s="1155"/>
      <c r="I131" s="1604"/>
      <c r="J131" s="1605"/>
      <c r="K131" s="1605"/>
      <c r="L131" s="1605"/>
      <c r="M131" s="1605"/>
      <c r="N131" s="1605"/>
      <c r="O131" s="1605"/>
      <c r="P131" s="1605"/>
      <c r="Q131" s="1605"/>
      <c r="R131" s="1605"/>
      <c r="S131" s="1605"/>
      <c r="T131" s="1605"/>
      <c r="U131" s="1605"/>
      <c r="V131" s="1605"/>
      <c r="W131" s="1605"/>
      <c r="X131" s="1605"/>
      <c r="Y131" s="1605"/>
      <c r="Z131" s="1605"/>
      <c r="AA131" s="1605"/>
      <c r="AB131" s="1605"/>
      <c r="AC131" s="1605"/>
      <c r="AD131" s="1605"/>
      <c r="AE131" s="1605"/>
      <c r="AF131" s="1605"/>
      <c r="AG131" s="1605"/>
      <c r="AH131" s="1605"/>
      <c r="AI131" s="1605"/>
      <c r="AJ131" s="1605"/>
      <c r="AK131" s="1605"/>
      <c r="AL131" s="1605"/>
      <c r="AM131" s="1605"/>
      <c r="AN131" s="1605"/>
      <c r="AO131" s="1605"/>
      <c r="AP131" s="1605"/>
      <c r="AQ131" s="1605"/>
      <c r="AR131" s="1605"/>
      <c r="AS131" s="1605"/>
      <c r="AT131" s="1606"/>
      <c r="AU131" s="122"/>
      <c r="AZ131" s="340" t="s">
        <v>1073</v>
      </c>
    </row>
    <row r="132" spans="1:52" ht="18" customHeight="1" thickBot="1">
      <c r="A132" s="113"/>
      <c r="B132" s="181"/>
      <c r="C132" s="476"/>
      <c r="D132" s="476"/>
      <c r="E132" s="476"/>
      <c r="F132" s="476"/>
      <c r="G132" s="476"/>
      <c r="H132" s="476"/>
      <c r="I132" s="484"/>
      <c r="J132" s="484"/>
      <c r="K132" s="484"/>
      <c r="L132" s="484"/>
      <c r="M132" s="484"/>
      <c r="N132" s="484"/>
      <c r="O132" s="484"/>
      <c r="P132" s="484"/>
      <c r="Q132" s="484"/>
      <c r="R132" s="484"/>
      <c r="S132" s="484"/>
      <c r="T132" s="484"/>
      <c r="U132" s="484"/>
      <c r="V132" s="484"/>
      <c r="W132" s="484"/>
      <c r="X132" s="484"/>
      <c r="Y132" s="484"/>
      <c r="Z132" s="484"/>
      <c r="AA132" s="484"/>
      <c r="AB132" s="484"/>
      <c r="AC132" s="484"/>
      <c r="AD132" s="484"/>
      <c r="AE132" s="484"/>
      <c r="AF132" s="484"/>
      <c r="AG132" s="484"/>
      <c r="AH132" s="484"/>
      <c r="AI132" s="484"/>
      <c r="AJ132" s="484"/>
      <c r="AK132" s="484"/>
      <c r="AL132" s="484"/>
      <c r="AM132" s="484"/>
      <c r="AN132" s="484"/>
      <c r="AO132" s="484"/>
      <c r="AP132" s="484"/>
      <c r="AQ132" s="484"/>
      <c r="AR132" s="484"/>
      <c r="AS132" s="484"/>
      <c r="AT132" s="484"/>
      <c r="AU132" s="122"/>
    </row>
    <row r="133" spans="1:52" ht="18" customHeight="1">
      <c r="A133" s="113"/>
      <c r="B133" s="181"/>
      <c r="C133" s="1592" t="s">
        <v>776</v>
      </c>
      <c r="D133" s="1593"/>
      <c r="E133" s="1593"/>
      <c r="F133" s="1593"/>
      <c r="G133" s="1593"/>
      <c r="H133" s="1594"/>
      <c r="I133" s="1494" t="s">
        <v>2017</v>
      </c>
      <c r="J133" s="1494"/>
      <c r="K133" s="1494"/>
      <c r="L133" s="1494"/>
      <c r="M133" s="1494"/>
      <c r="N133" s="1494"/>
      <c r="O133" s="1494"/>
      <c r="P133" s="1494"/>
      <c r="Q133" s="1494"/>
      <c r="R133" s="1494"/>
      <c r="S133" s="1494"/>
      <c r="T133" s="1494"/>
      <c r="U133" s="1494"/>
      <c r="V133" s="1494"/>
      <c r="W133" s="1494"/>
      <c r="X133" s="1494"/>
      <c r="Y133" s="1494"/>
      <c r="Z133" s="1494"/>
      <c r="AA133" s="1494"/>
      <c r="AB133" s="1494"/>
      <c r="AC133" s="1494"/>
      <c r="AD133" s="1494"/>
      <c r="AE133" s="1494"/>
      <c r="AF133" s="1494"/>
      <c r="AG133" s="1494"/>
      <c r="AH133" s="1494"/>
      <c r="AI133" s="1494"/>
      <c r="AJ133" s="1494"/>
      <c r="AK133" s="1494"/>
      <c r="AL133" s="1494"/>
      <c r="AM133" s="1494"/>
      <c r="AN133" s="1494"/>
      <c r="AO133" s="1494"/>
      <c r="AP133" s="1494"/>
      <c r="AQ133" s="1494"/>
      <c r="AR133" s="1494"/>
      <c r="AS133" s="1494"/>
      <c r="AT133" s="1598"/>
      <c r="AU133" s="138"/>
    </row>
    <row r="134" spans="1:52" ht="18.649999999999999" customHeight="1">
      <c r="A134" s="113"/>
      <c r="B134" s="181"/>
      <c r="C134" s="1592"/>
      <c r="D134" s="1593"/>
      <c r="E134" s="1593"/>
      <c r="F134" s="1593"/>
      <c r="G134" s="1593"/>
      <c r="H134" s="1594"/>
      <c r="I134" s="1494"/>
      <c r="J134" s="1494"/>
      <c r="K134" s="1494"/>
      <c r="L134" s="1494"/>
      <c r="M134" s="1494"/>
      <c r="N134" s="1494"/>
      <c r="O134" s="1494"/>
      <c r="P134" s="1494"/>
      <c r="Q134" s="1494"/>
      <c r="R134" s="1494"/>
      <c r="S134" s="1494"/>
      <c r="T134" s="1494"/>
      <c r="U134" s="1494"/>
      <c r="V134" s="1494"/>
      <c r="W134" s="1494"/>
      <c r="X134" s="1494"/>
      <c r="Y134" s="1494"/>
      <c r="Z134" s="1494"/>
      <c r="AA134" s="1494"/>
      <c r="AB134" s="1494"/>
      <c r="AC134" s="1494"/>
      <c r="AD134" s="1494"/>
      <c r="AE134" s="1494"/>
      <c r="AF134" s="1494"/>
      <c r="AG134" s="1494"/>
      <c r="AH134" s="1494"/>
      <c r="AI134" s="1494"/>
      <c r="AJ134" s="1494"/>
      <c r="AK134" s="1494"/>
      <c r="AL134" s="1494"/>
      <c r="AM134" s="1494"/>
      <c r="AN134" s="1494"/>
      <c r="AO134" s="1494"/>
      <c r="AP134" s="1494"/>
      <c r="AQ134" s="1494"/>
      <c r="AR134" s="1494"/>
      <c r="AS134" s="1494"/>
      <c r="AT134" s="1598"/>
      <c r="AU134" s="138"/>
    </row>
    <row r="135" spans="1:52" ht="18.649999999999999" customHeight="1">
      <c r="A135" s="113"/>
      <c r="B135" s="181"/>
      <c r="C135" s="1592"/>
      <c r="D135" s="1593"/>
      <c r="E135" s="1593"/>
      <c r="F135" s="1593"/>
      <c r="G135" s="1593"/>
      <c r="H135" s="1594"/>
      <c r="I135" s="1494"/>
      <c r="J135" s="1494"/>
      <c r="K135" s="1494"/>
      <c r="L135" s="1494"/>
      <c r="M135" s="1494"/>
      <c r="N135" s="1494"/>
      <c r="O135" s="1494"/>
      <c r="P135" s="1494"/>
      <c r="Q135" s="1494"/>
      <c r="R135" s="1494"/>
      <c r="S135" s="1494"/>
      <c r="T135" s="1494"/>
      <c r="U135" s="1494"/>
      <c r="V135" s="1494"/>
      <c r="W135" s="1494"/>
      <c r="X135" s="1494"/>
      <c r="Y135" s="1494"/>
      <c r="Z135" s="1494"/>
      <c r="AA135" s="1494"/>
      <c r="AB135" s="1494"/>
      <c r="AC135" s="1494"/>
      <c r="AD135" s="1494"/>
      <c r="AE135" s="1494"/>
      <c r="AF135" s="1494"/>
      <c r="AG135" s="1494"/>
      <c r="AH135" s="1494"/>
      <c r="AI135" s="1494"/>
      <c r="AJ135" s="1494"/>
      <c r="AK135" s="1494"/>
      <c r="AL135" s="1494"/>
      <c r="AM135" s="1494"/>
      <c r="AN135" s="1494"/>
      <c r="AO135" s="1494"/>
      <c r="AP135" s="1494"/>
      <c r="AQ135" s="1494"/>
      <c r="AR135" s="1494"/>
      <c r="AS135" s="1494"/>
      <c r="AT135" s="1598"/>
      <c r="AU135" s="138"/>
    </row>
    <row r="136" spans="1:52" ht="18.649999999999999" customHeight="1">
      <c r="A136" s="113"/>
      <c r="B136" s="181"/>
      <c r="C136" s="1592"/>
      <c r="D136" s="1593"/>
      <c r="E136" s="1593"/>
      <c r="F136" s="1593"/>
      <c r="G136" s="1593"/>
      <c r="H136" s="1594"/>
      <c r="I136" s="1494"/>
      <c r="J136" s="1494"/>
      <c r="K136" s="1494"/>
      <c r="L136" s="1494"/>
      <c r="M136" s="1494"/>
      <c r="N136" s="1494"/>
      <c r="O136" s="1494"/>
      <c r="P136" s="1494"/>
      <c r="Q136" s="1494"/>
      <c r="R136" s="1494"/>
      <c r="S136" s="1494"/>
      <c r="T136" s="1494"/>
      <c r="U136" s="1494"/>
      <c r="V136" s="1494"/>
      <c r="W136" s="1494"/>
      <c r="X136" s="1494"/>
      <c r="Y136" s="1494"/>
      <c r="Z136" s="1494"/>
      <c r="AA136" s="1494"/>
      <c r="AB136" s="1494"/>
      <c r="AC136" s="1494"/>
      <c r="AD136" s="1494"/>
      <c r="AE136" s="1494"/>
      <c r="AF136" s="1494"/>
      <c r="AG136" s="1494"/>
      <c r="AH136" s="1494"/>
      <c r="AI136" s="1494"/>
      <c r="AJ136" s="1494"/>
      <c r="AK136" s="1494"/>
      <c r="AL136" s="1494"/>
      <c r="AM136" s="1494"/>
      <c r="AN136" s="1494"/>
      <c r="AO136" s="1494"/>
      <c r="AP136" s="1494"/>
      <c r="AQ136" s="1494"/>
      <c r="AR136" s="1494"/>
      <c r="AS136" s="1494"/>
      <c r="AT136" s="1598"/>
      <c r="AU136" s="138"/>
    </row>
    <row r="137" spans="1:52" ht="18.649999999999999" customHeight="1">
      <c r="A137" s="113"/>
      <c r="B137" s="181"/>
      <c r="C137" s="1592"/>
      <c r="D137" s="1593"/>
      <c r="E137" s="1593"/>
      <c r="F137" s="1593"/>
      <c r="G137" s="1593"/>
      <c r="H137" s="1594"/>
      <c r="I137" s="1494"/>
      <c r="J137" s="1494"/>
      <c r="K137" s="1494"/>
      <c r="L137" s="1494"/>
      <c r="M137" s="1494"/>
      <c r="N137" s="1494"/>
      <c r="O137" s="1494"/>
      <c r="P137" s="1494"/>
      <c r="Q137" s="1494"/>
      <c r="R137" s="1494"/>
      <c r="S137" s="1494"/>
      <c r="T137" s="1494"/>
      <c r="U137" s="1494"/>
      <c r="V137" s="1494"/>
      <c r="W137" s="1494"/>
      <c r="X137" s="1494"/>
      <c r="Y137" s="1494"/>
      <c r="Z137" s="1494"/>
      <c r="AA137" s="1494"/>
      <c r="AB137" s="1494"/>
      <c r="AC137" s="1494"/>
      <c r="AD137" s="1494"/>
      <c r="AE137" s="1494"/>
      <c r="AF137" s="1494"/>
      <c r="AG137" s="1494"/>
      <c r="AH137" s="1494"/>
      <c r="AI137" s="1494"/>
      <c r="AJ137" s="1494"/>
      <c r="AK137" s="1494"/>
      <c r="AL137" s="1494"/>
      <c r="AM137" s="1494"/>
      <c r="AN137" s="1494"/>
      <c r="AO137" s="1494"/>
      <c r="AP137" s="1494"/>
      <c r="AQ137" s="1494"/>
      <c r="AR137" s="1494"/>
      <c r="AS137" s="1494"/>
      <c r="AT137" s="1598"/>
      <c r="AU137" s="138"/>
    </row>
    <row r="138" spans="1:52" ht="18.649999999999999" customHeight="1" thickBot="1">
      <c r="A138" s="113"/>
      <c r="B138" s="181"/>
      <c r="C138" s="1595"/>
      <c r="D138" s="1596"/>
      <c r="E138" s="1596"/>
      <c r="F138" s="1596"/>
      <c r="G138" s="1596"/>
      <c r="H138" s="1597"/>
      <c r="I138" s="1599"/>
      <c r="J138" s="1599"/>
      <c r="K138" s="1599"/>
      <c r="L138" s="1599"/>
      <c r="M138" s="1599"/>
      <c r="N138" s="1599"/>
      <c r="O138" s="1599"/>
      <c r="P138" s="1599"/>
      <c r="Q138" s="1599"/>
      <c r="R138" s="1599"/>
      <c r="S138" s="1599"/>
      <c r="T138" s="1599"/>
      <c r="U138" s="1599"/>
      <c r="V138" s="1599"/>
      <c r="W138" s="1599"/>
      <c r="X138" s="1599"/>
      <c r="Y138" s="1599"/>
      <c r="Z138" s="1599"/>
      <c r="AA138" s="1599"/>
      <c r="AB138" s="1599"/>
      <c r="AC138" s="1599"/>
      <c r="AD138" s="1599"/>
      <c r="AE138" s="1599"/>
      <c r="AF138" s="1599"/>
      <c r="AG138" s="1599"/>
      <c r="AH138" s="1599"/>
      <c r="AI138" s="1599"/>
      <c r="AJ138" s="1599"/>
      <c r="AK138" s="1599"/>
      <c r="AL138" s="1599"/>
      <c r="AM138" s="1599"/>
      <c r="AN138" s="1599"/>
      <c r="AO138" s="1599"/>
      <c r="AP138" s="1599"/>
      <c r="AQ138" s="1599"/>
      <c r="AR138" s="1599"/>
      <c r="AS138" s="1599"/>
      <c r="AT138" s="1600"/>
      <c r="AU138" s="138"/>
    </row>
    <row r="139" spans="1:52" ht="18.649999999999999" customHeight="1">
      <c r="A139" s="113"/>
      <c r="B139" s="181"/>
      <c r="C139" s="147"/>
      <c r="D139" s="147"/>
      <c r="E139" s="147"/>
      <c r="F139" s="147"/>
      <c r="G139" s="147"/>
      <c r="H139" s="147"/>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38"/>
    </row>
    <row r="140" spans="1:52" ht="18.649999999999999" customHeight="1">
      <c r="A140" s="113"/>
      <c r="B140" s="18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38"/>
    </row>
    <row r="141" spans="1:52" ht="18" customHeight="1">
      <c r="A141" s="113"/>
      <c r="B141" s="18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38"/>
    </row>
    <row r="142" spans="1:52" ht="18" customHeight="1">
      <c r="A142" s="113"/>
      <c r="B142" s="18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38"/>
    </row>
    <row r="143" spans="1:52" ht="18.649999999999999" customHeight="1" thickBot="1">
      <c r="A143" s="113"/>
      <c r="B143" s="182"/>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40"/>
    </row>
    <row r="144" spans="1:52" ht="18.649999999999999" customHeight="1" thickTop="1">
      <c r="A144" s="113"/>
      <c r="C144" s="112"/>
      <c r="AC144" s="112"/>
      <c r="AD144" s="112"/>
      <c r="AE144" s="112"/>
      <c r="AF144" s="112"/>
      <c r="AG144" s="112"/>
      <c r="AH144" s="112"/>
      <c r="AI144" s="112"/>
      <c r="AJ144" s="112"/>
      <c r="AK144" s="112"/>
      <c r="AT144" s="141"/>
      <c r="AU144" s="142"/>
    </row>
    <row r="145" spans="1:47" ht="18.649999999999999" customHeight="1">
      <c r="A145" s="113"/>
      <c r="C145" s="112"/>
      <c r="AC145" s="112"/>
      <c r="AD145" s="112"/>
      <c r="AE145" s="112"/>
      <c r="AF145" s="112"/>
      <c r="AG145" s="112"/>
      <c r="AH145" s="112"/>
      <c r="AI145" s="112"/>
      <c r="AJ145" s="112"/>
      <c r="AK145" s="112"/>
      <c r="AT145" s="141"/>
      <c r="AU145" s="142"/>
    </row>
    <row r="146" spans="1:47" ht="18.649999999999999" customHeight="1">
      <c r="A146" s="113"/>
      <c r="C146" s="112"/>
      <c r="AC146" s="112"/>
      <c r="AD146" s="112"/>
      <c r="AE146" s="112"/>
      <c r="AF146" s="112"/>
      <c r="AG146" s="112"/>
      <c r="AH146" s="112"/>
      <c r="AI146" s="112"/>
      <c r="AJ146" s="112"/>
      <c r="AK146" s="112"/>
      <c r="AT146" s="141"/>
      <c r="AU146" s="142"/>
    </row>
    <row r="147" spans="1:47" ht="18.649999999999999" customHeight="1">
      <c r="A147" s="113"/>
      <c r="C147" s="112"/>
      <c r="AC147" s="112"/>
      <c r="AD147" s="112"/>
      <c r="AE147" s="112"/>
      <c r="AF147" s="112"/>
      <c r="AG147" s="112"/>
      <c r="AH147" s="112"/>
      <c r="AI147" s="112"/>
      <c r="AJ147" s="112"/>
      <c r="AK147" s="112"/>
      <c r="AT147" s="141"/>
      <c r="AU147" s="142"/>
    </row>
    <row r="148" spans="1:47" ht="18.649999999999999" customHeight="1">
      <c r="A148" s="113"/>
      <c r="C148" s="112"/>
      <c r="AC148" s="112"/>
      <c r="AD148" s="112"/>
      <c r="AE148" s="112"/>
      <c r="AF148" s="112"/>
      <c r="AG148" s="112"/>
      <c r="AH148" s="112"/>
      <c r="AI148" s="112"/>
      <c r="AJ148" s="112"/>
      <c r="AK148" s="112"/>
      <c r="AT148" s="141"/>
      <c r="AU148" s="142"/>
    </row>
    <row r="149" spans="1:47" ht="18.649999999999999" customHeight="1">
      <c r="A149" s="113"/>
      <c r="C149" s="112"/>
      <c r="AC149" s="112"/>
      <c r="AD149" s="112"/>
      <c r="AE149" s="112"/>
      <c r="AF149" s="112"/>
      <c r="AG149" s="112"/>
      <c r="AH149" s="112"/>
      <c r="AI149" s="112"/>
      <c r="AJ149" s="112"/>
      <c r="AK149" s="112"/>
      <c r="AT149" s="141"/>
      <c r="AU149" s="142"/>
    </row>
    <row r="150" spans="1:47" ht="18.649999999999999" customHeight="1">
      <c r="A150" s="113"/>
      <c r="C150" s="112"/>
      <c r="AC150" s="112"/>
      <c r="AD150" s="112"/>
      <c r="AE150" s="112"/>
      <c r="AF150" s="112"/>
      <c r="AG150" s="112"/>
      <c r="AH150" s="112"/>
      <c r="AI150" s="112"/>
      <c r="AJ150" s="112"/>
      <c r="AK150" s="112"/>
      <c r="AT150" s="141"/>
      <c r="AU150" s="142"/>
    </row>
    <row r="151" spans="1:47" ht="18.649999999999999" customHeight="1">
      <c r="A151" s="113"/>
      <c r="C151" s="112"/>
      <c r="AC151" s="112"/>
      <c r="AD151" s="112"/>
      <c r="AE151" s="112"/>
      <c r="AF151" s="112"/>
      <c r="AG151" s="112"/>
      <c r="AH151" s="112"/>
      <c r="AI151" s="112"/>
      <c r="AJ151" s="112"/>
      <c r="AK151" s="112"/>
      <c r="AT151" s="141"/>
      <c r="AU151" s="142"/>
    </row>
    <row r="152" spans="1:47" ht="18.649999999999999" customHeight="1">
      <c r="A152" s="113"/>
      <c r="C152" s="112"/>
      <c r="AC152" s="112"/>
      <c r="AD152" s="112"/>
      <c r="AE152" s="112"/>
      <c r="AF152" s="112"/>
      <c r="AG152" s="112"/>
      <c r="AH152" s="112"/>
      <c r="AI152" s="112"/>
      <c r="AJ152" s="112"/>
      <c r="AK152" s="112"/>
      <c r="AT152" s="141"/>
      <c r="AU152" s="142"/>
    </row>
    <row r="153" spans="1:47" ht="18.649999999999999" customHeight="1">
      <c r="C153" s="112"/>
      <c r="AC153" s="112"/>
      <c r="AD153" s="112"/>
      <c r="AE153" s="112"/>
      <c r="AF153" s="112"/>
      <c r="AG153" s="112"/>
      <c r="AH153" s="112"/>
      <c r="AI153" s="112"/>
      <c r="AJ153" s="112"/>
      <c r="AK153" s="112"/>
      <c r="AT153" s="141"/>
      <c r="AU153" s="142"/>
    </row>
    <row r="154" spans="1:47" ht="18.649999999999999" customHeight="1">
      <c r="C154" s="112"/>
      <c r="AC154" s="112"/>
      <c r="AD154" s="112"/>
      <c r="AE154" s="112"/>
      <c r="AF154" s="112"/>
      <c r="AG154" s="112"/>
      <c r="AH154" s="112"/>
      <c r="AI154" s="112"/>
      <c r="AJ154" s="112"/>
      <c r="AK154" s="112"/>
      <c r="AT154" s="141"/>
      <c r="AU154" s="142"/>
    </row>
    <row r="155" spans="1:47" ht="18.649999999999999" customHeight="1">
      <c r="C155" s="112"/>
      <c r="AC155" s="112"/>
      <c r="AD155" s="112"/>
      <c r="AE155" s="112"/>
      <c r="AF155" s="112"/>
      <c r="AG155" s="112"/>
      <c r="AH155" s="112"/>
      <c r="AI155" s="112"/>
      <c r="AJ155" s="112"/>
      <c r="AK155" s="112"/>
      <c r="AT155" s="141"/>
      <c r="AU155" s="142"/>
    </row>
    <row r="156" spans="1:47" ht="18.649999999999999" customHeight="1">
      <c r="C156" s="112"/>
      <c r="AC156" s="112"/>
      <c r="AD156" s="112"/>
      <c r="AE156" s="112"/>
      <c r="AF156" s="112"/>
      <c r="AG156" s="112"/>
      <c r="AH156" s="112"/>
      <c r="AI156" s="112"/>
      <c r="AJ156" s="112"/>
      <c r="AK156" s="112"/>
      <c r="AT156" s="141"/>
      <c r="AU156" s="142"/>
    </row>
    <row r="157" spans="1:47" ht="18.649999999999999" customHeight="1">
      <c r="C157" s="112"/>
      <c r="AC157" s="112"/>
      <c r="AD157" s="112"/>
      <c r="AE157" s="112"/>
      <c r="AF157" s="112"/>
      <c r="AG157" s="112"/>
      <c r="AH157" s="112"/>
      <c r="AI157" s="112"/>
      <c r="AJ157" s="112"/>
      <c r="AK157" s="112"/>
      <c r="AT157" s="141"/>
      <c r="AU157" s="142"/>
    </row>
    <row r="158" spans="1:47" ht="18.649999999999999" customHeight="1">
      <c r="C158" s="112"/>
      <c r="AC158" s="112"/>
      <c r="AD158" s="112"/>
      <c r="AE158" s="112"/>
      <c r="AF158" s="112"/>
      <c r="AG158" s="112"/>
      <c r="AH158" s="112"/>
      <c r="AI158" s="112"/>
      <c r="AJ158" s="112"/>
      <c r="AK158" s="112"/>
      <c r="AT158" s="141"/>
      <c r="AU158" s="142"/>
    </row>
    <row r="159" spans="1:47" ht="18.649999999999999" customHeight="1">
      <c r="C159" s="112"/>
      <c r="AC159" s="112"/>
      <c r="AD159" s="112"/>
      <c r="AE159" s="112"/>
      <c r="AF159" s="112"/>
      <c r="AG159" s="112"/>
      <c r="AH159" s="112"/>
      <c r="AI159" s="112"/>
      <c r="AJ159" s="112"/>
      <c r="AK159" s="112"/>
      <c r="AT159" s="141"/>
      <c r="AU159" s="142"/>
    </row>
    <row r="160" spans="1:47" ht="18.649999999999999" customHeight="1">
      <c r="C160" s="112"/>
      <c r="AC160" s="112"/>
      <c r="AD160" s="112"/>
      <c r="AE160" s="112"/>
      <c r="AF160" s="112"/>
      <c r="AG160" s="112"/>
      <c r="AH160" s="112"/>
      <c r="AI160" s="112"/>
      <c r="AJ160" s="112"/>
      <c r="AK160" s="112"/>
      <c r="AT160" s="141"/>
      <c r="AU160" s="142"/>
    </row>
    <row r="161" spans="3:47" ht="18.649999999999999" customHeight="1">
      <c r="C161" s="112"/>
      <c r="AC161" s="112"/>
      <c r="AD161" s="112"/>
      <c r="AE161" s="112"/>
      <c r="AF161" s="112"/>
      <c r="AG161" s="112"/>
      <c r="AH161" s="112"/>
      <c r="AI161" s="112"/>
      <c r="AJ161" s="112"/>
      <c r="AK161" s="112"/>
      <c r="AT161" s="141"/>
      <c r="AU161" s="142"/>
    </row>
    <row r="162" spans="3:47" ht="18.649999999999999" customHeight="1">
      <c r="C162" s="112"/>
      <c r="AC162" s="112"/>
      <c r="AD162" s="112"/>
      <c r="AE162" s="112"/>
      <c r="AF162" s="112"/>
      <c r="AG162" s="112"/>
      <c r="AH162" s="112"/>
      <c r="AI162" s="112"/>
      <c r="AJ162" s="112"/>
      <c r="AK162" s="112"/>
      <c r="AT162" s="141"/>
      <c r="AU162" s="142"/>
    </row>
    <row r="163" spans="3:47" ht="18.649999999999999" customHeight="1">
      <c r="C163" s="112"/>
      <c r="AC163" s="112"/>
      <c r="AD163" s="112"/>
      <c r="AE163" s="112"/>
      <c r="AF163" s="112"/>
      <c r="AG163" s="112"/>
      <c r="AH163" s="112"/>
      <c r="AI163" s="112"/>
      <c r="AJ163" s="112"/>
      <c r="AK163" s="112"/>
      <c r="AT163" s="141"/>
      <c r="AU163" s="142"/>
    </row>
    <row r="164" spans="3:47" ht="18.649999999999999" customHeight="1">
      <c r="C164" s="112"/>
      <c r="AC164" s="112"/>
      <c r="AD164" s="112"/>
      <c r="AE164" s="112"/>
      <c r="AF164" s="112"/>
      <c r="AG164" s="112"/>
      <c r="AH164" s="112"/>
      <c r="AI164" s="112"/>
      <c r="AJ164" s="112"/>
      <c r="AK164" s="112"/>
      <c r="AT164" s="141"/>
      <c r="AU164" s="142"/>
    </row>
    <row r="165" spans="3:47" ht="18.649999999999999" customHeight="1">
      <c r="C165" s="112"/>
      <c r="AC165" s="112"/>
      <c r="AD165" s="112"/>
      <c r="AE165" s="112"/>
      <c r="AF165" s="112"/>
      <c r="AG165" s="112"/>
      <c r="AH165" s="112"/>
      <c r="AI165" s="112"/>
      <c r="AJ165" s="112"/>
      <c r="AK165" s="112"/>
      <c r="AT165" s="141"/>
      <c r="AU165" s="142"/>
    </row>
    <row r="166" spans="3:47" ht="18.649999999999999" customHeight="1">
      <c r="C166" s="112"/>
      <c r="AC166" s="112"/>
      <c r="AD166" s="112"/>
      <c r="AE166" s="112"/>
      <c r="AF166" s="112"/>
      <c r="AG166" s="112"/>
      <c r="AH166" s="112"/>
      <c r="AI166" s="112"/>
      <c r="AJ166" s="112"/>
      <c r="AK166" s="112"/>
      <c r="AU166" s="142"/>
    </row>
    <row r="167" spans="3:47" ht="18.649999999999999" customHeight="1">
      <c r="C167" s="112"/>
      <c r="AC167" s="112"/>
      <c r="AD167" s="112"/>
      <c r="AE167" s="112"/>
      <c r="AF167" s="112"/>
      <c r="AG167" s="112"/>
      <c r="AH167" s="112"/>
      <c r="AI167" s="112"/>
      <c r="AJ167" s="112"/>
      <c r="AK167" s="112"/>
      <c r="AU167" s="142"/>
    </row>
    <row r="168" spans="3:47" ht="18.649999999999999" customHeight="1">
      <c r="C168" s="112"/>
      <c r="AC168" s="112"/>
      <c r="AD168" s="112"/>
      <c r="AE168" s="112"/>
      <c r="AF168" s="112"/>
      <c r="AG168" s="112"/>
      <c r="AH168" s="112"/>
      <c r="AI168" s="112"/>
      <c r="AJ168" s="112"/>
      <c r="AK168" s="112"/>
      <c r="AU168" s="142"/>
    </row>
    <row r="169" spans="3:47" ht="18.649999999999999" customHeight="1">
      <c r="C169" s="112"/>
      <c r="AC169" s="112"/>
      <c r="AD169" s="112"/>
      <c r="AE169" s="112"/>
      <c r="AF169" s="112"/>
      <c r="AG169" s="112"/>
      <c r="AH169" s="112"/>
      <c r="AI169" s="112"/>
      <c r="AJ169" s="112"/>
      <c r="AK169" s="112"/>
      <c r="AU169" s="142"/>
    </row>
    <row r="170" spans="3:47" ht="18.649999999999999" customHeight="1">
      <c r="C170" s="112"/>
      <c r="AC170" s="112"/>
      <c r="AD170" s="112"/>
      <c r="AE170" s="112"/>
      <c r="AF170" s="112"/>
      <c r="AG170" s="112"/>
      <c r="AH170" s="112"/>
      <c r="AI170" s="112"/>
      <c r="AJ170" s="112"/>
      <c r="AK170" s="112"/>
      <c r="AU170" s="142"/>
    </row>
    <row r="171" spans="3:47" ht="18.649999999999999" customHeight="1">
      <c r="C171" s="112"/>
      <c r="AC171" s="112"/>
      <c r="AD171" s="112"/>
      <c r="AE171" s="112"/>
      <c r="AF171" s="112"/>
      <c r="AG171" s="112"/>
      <c r="AH171" s="112"/>
      <c r="AI171" s="112"/>
      <c r="AJ171" s="112"/>
      <c r="AK171" s="112"/>
      <c r="AU171" s="142"/>
    </row>
    <row r="172" spans="3:47" ht="18.649999999999999" customHeight="1">
      <c r="C172" s="112"/>
      <c r="AC172" s="112"/>
      <c r="AD172" s="112"/>
      <c r="AE172" s="112"/>
      <c r="AF172" s="112"/>
      <c r="AG172" s="112"/>
      <c r="AH172" s="112"/>
      <c r="AI172" s="112"/>
      <c r="AJ172" s="112"/>
      <c r="AK172" s="112"/>
      <c r="AU172" s="142"/>
    </row>
    <row r="173" spans="3:47" ht="18.649999999999999" customHeight="1">
      <c r="C173" s="112"/>
      <c r="AC173" s="112"/>
      <c r="AD173" s="112"/>
      <c r="AE173" s="112"/>
      <c r="AF173" s="112"/>
      <c r="AG173" s="112"/>
      <c r="AH173" s="112"/>
      <c r="AI173" s="112"/>
      <c r="AJ173" s="112"/>
      <c r="AK173" s="112"/>
      <c r="AU173" s="142"/>
    </row>
    <row r="174" spans="3:47" ht="18.649999999999999" customHeight="1">
      <c r="C174" s="112"/>
      <c r="AC174" s="112"/>
      <c r="AD174" s="112"/>
      <c r="AE174" s="112"/>
      <c r="AF174" s="112"/>
      <c r="AG174" s="112"/>
      <c r="AH174" s="112"/>
      <c r="AI174" s="112"/>
      <c r="AJ174" s="112"/>
      <c r="AK174" s="112"/>
      <c r="AU174" s="142"/>
    </row>
    <row r="175" spans="3:47" ht="18.649999999999999" customHeight="1">
      <c r="C175" s="112"/>
      <c r="AC175" s="112"/>
      <c r="AD175" s="112"/>
      <c r="AE175" s="112"/>
      <c r="AF175" s="112"/>
      <c r="AG175" s="112"/>
      <c r="AH175" s="112"/>
      <c r="AI175" s="112"/>
      <c r="AJ175" s="112"/>
      <c r="AK175" s="112"/>
      <c r="AU175" s="142"/>
    </row>
    <row r="176" spans="3:47" ht="18.649999999999999" customHeight="1">
      <c r="C176" s="112"/>
      <c r="AC176" s="112"/>
      <c r="AD176" s="112"/>
      <c r="AE176" s="112"/>
      <c r="AF176" s="112"/>
      <c r="AG176" s="112"/>
      <c r="AH176" s="112"/>
      <c r="AI176" s="112"/>
      <c r="AJ176" s="112"/>
      <c r="AK176" s="112"/>
      <c r="AU176" s="142"/>
    </row>
    <row r="177" spans="3:47" ht="18.649999999999999" customHeight="1">
      <c r="C177" s="112"/>
      <c r="AC177" s="112"/>
      <c r="AD177" s="112"/>
      <c r="AE177" s="112"/>
      <c r="AF177" s="112"/>
      <c r="AG177" s="112"/>
      <c r="AH177" s="112"/>
      <c r="AI177" s="112"/>
      <c r="AJ177" s="112"/>
      <c r="AK177" s="112"/>
      <c r="AU177" s="142"/>
    </row>
    <row r="178" spans="3:47" ht="18.649999999999999" customHeight="1">
      <c r="C178" s="112"/>
      <c r="AC178" s="112"/>
      <c r="AD178" s="112"/>
      <c r="AE178" s="112"/>
      <c r="AF178" s="112"/>
      <c r="AG178" s="112"/>
      <c r="AH178" s="112"/>
      <c r="AI178" s="112"/>
      <c r="AJ178" s="112"/>
      <c r="AK178" s="112"/>
      <c r="AU178" s="142"/>
    </row>
    <row r="179" spans="3:47" ht="18.649999999999999" customHeight="1">
      <c r="C179" s="112"/>
      <c r="AC179" s="112"/>
      <c r="AD179" s="112"/>
      <c r="AE179" s="112"/>
      <c r="AF179" s="112"/>
      <c r="AG179" s="112"/>
      <c r="AH179" s="112"/>
      <c r="AI179" s="112"/>
      <c r="AJ179" s="112"/>
      <c r="AK179" s="112"/>
      <c r="AU179" s="142"/>
    </row>
    <row r="180" spans="3:47" ht="18.649999999999999" customHeight="1">
      <c r="C180" s="112"/>
      <c r="AC180" s="112"/>
      <c r="AD180" s="112"/>
      <c r="AE180" s="112"/>
      <c r="AF180" s="112"/>
      <c r="AG180" s="112"/>
      <c r="AH180" s="112"/>
      <c r="AI180" s="112"/>
      <c r="AJ180" s="112"/>
      <c r="AK180" s="112"/>
      <c r="AU180" s="142"/>
    </row>
    <row r="181" spans="3:47" ht="18.649999999999999" customHeight="1">
      <c r="C181" s="112"/>
      <c r="AC181" s="112"/>
      <c r="AD181" s="112"/>
      <c r="AE181" s="112"/>
      <c r="AF181" s="112"/>
      <c r="AG181" s="112"/>
      <c r="AH181" s="112"/>
      <c r="AI181" s="112"/>
      <c r="AJ181" s="112"/>
      <c r="AK181" s="112"/>
      <c r="AU181" s="142"/>
    </row>
    <row r="182" spans="3:47" ht="18.649999999999999" customHeight="1">
      <c r="AL182" s="143"/>
    </row>
    <row r="183" spans="3:47" ht="18.649999999999999" customHeight="1">
      <c r="AL183" s="143"/>
    </row>
    <row r="184" spans="3:47" ht="18.649999999999999" customHeight="1">
      <c r="AL184" s="143"/>
    </row>
    <row r="185" spans="3:47" ht="18.649999999999999" customHeight="1">
      <c r="AL185" s="143"/>
    </row>
    <row r="186" spans="3:47" ht="18.649999999999999" customHeight="1">
      <c r="AL186" s="143"/>
    </row>
    <row r="187" spans="3:47" ht="18.649999999999999" customHeight="1">
      <c r="AL187" s="143"/>
    </row>
    <row r="188" spans="3:47" ht="18.649999999999999" customHeight="1">
      <c r="AL188" s="143"/>
    </row>
    <row r="189" spans="3:47" ht="18.649999999999999" customHeight="1">
      <c r="AL189" s="143"/>
    </row>
    <row r="190" spans="3:47" ht="18.649999999999999" customHeight="1">
      <c r="AL190" s="143"/>
    </row>
    <row r="191" spans="3:47" ht="18.649999999999999" customHeight="1">
      <c r="AL191" s="143"/>
    </row>
    <row r="192" spans="3:47" ht="18.649999999999999" customHeight="1">
      <c r="AL192" s="143"/>
    </row>
    <row r="193" spans="38:38" ht="18.649999999999999" customHeight="1">
      <c r="AL193" s="143"/>
    </row>
    <row r="194" spans="38:38" ht="18.649999999999999" customHeight="1">
      <c r="AL194" s="143"/>
    </row>
    <row r="195" spans="38:38" ht="18.649999999999999" customHeight="1">
      <c r="AL195" s="143"/>
    </row>
    <row r="196" spans="38:38" ht="18.649999999999999" customHeight="1">
      <c r="AL196" s="143"/>
    </row>
    <row r="197" spans="38:38" ht="18.649999999999999" customHeight="1">
      <c r="AL197" s="143"/>
    </row>
    <row r="198" spans="38:38" ht="18.649999999999999" customHeight="1">
      <c r="AL198" s="143"/>
    </row>
    <row r="199" spans="38:38" ht="18.649999999999999" customHeight="1">
      <c r="AL199" s="143"/>
    </row>
    <row r="200" spans="38:38" ht="18.649999999999999" customHeight="1">
      <c r="AL200" s="143"/>
    </row>
    <row r="201" spans="38:38" ht="18.649999999999999" customHeight="1">
      <c r="AL201" s="143"/>
    </row>
    <row r="202" spans="38:38" ht="18.649999999999999" customHeight="1">
      <c r="AL202" s="143"/>
    </row>
    <row r="203" spans="38:38" ht="18.649999999999999" customHeight="1">
      <c r="AL203" s="143"/>
    </row>
    <row r="204" spans="38:38" ht="18.649999999999999" customHeight="1">
      <c r="AL204" s="143"/>
    </row>
    <row r="205" spans="38:38" ht="18.649999999999999" customHeight="1">
      <c r="AL205" s="143"/>
    </row>
    <row r="206" spans="38:38" ht="18.649999999999999" customHeight="1">
      <c r="AL206" s="143"/>
    </row>
    <row r="207" spans="38:38" ht="18.649999999999999" customHeight="1">
      <c r="AL207" s="143"/>
    </row>
    <row r="208" spans="38:38" ht="18.649999999999999" customHeight="1">
      <c r="AL208" s="143"/>
    </row>
    <row r="209" spans="38:38" ht="18.649999999999999" customHeight="1">
      <c r="AL209" s="143"/>
    </row>
    <row r="210" spans="38:38" ht="18.649999999999999" customHeight="1">
      <c r="AL210" s="143"/>
    </row>
    <row r="211" spans="38:38" ht="18.649999999999999" customHeight="1">
      <c r="AL211" s="143"/>
    </row>
    <row r="212" spans="38:38" ht="18.649999999999999" customHeight="1">
      <c r="AL212" s="143"/>
    </row>
    <row r="213" spans="38:38" ht="18.649999999999999" customHeight="1">
      <c r="AL213" s="143"/>
    </row>
    <row r="214" spans="38:38" ht="18.649999999999999" customHeight="1">
      <c r="AL214" s="143"/>
    </row>
    <row r="215" spans="38:38" ht="18.649999999999999" customHeight="1">
      <c r="AL215" s="143"/>
    </row>
    <row r="216" spans="38:38" ht="18.649999999999999" customHeight="1">
      <c r="AL216" s="143"/>
    </row>
    <row r="217" spans="38:38" ht="18.649999999999999" customHeight="1">
      <c r="AL217" s="143"/>
    </row>
    <row r="218" spans="38:38" ht="18.649999999999999" customHeight="1">
      <c r="AL218" s="143"/>
    </row>
    <row r="219" spans="38:38" ht="18.649999999999999" customHeight="1">
      <c r="AL219" s="143"/>
    </row>
    <row r="220" spans="38:38" ht="18.649999999999999" customHeight="1">
      <c r="AL220" s="143"/>
    </row>
    <row r="221" spans="38:38" ht="18.649999999999999" customHeight="1">
      <c r="AL221" s="143"/>
    </row>
    <row r="222" spans="38:38" ht="18.649999999999999" customHeight="1">
      <c r="AL222" s="143"/>
    </row>
    <row r="223" spans="38:38" ht="18.649999999999999" customHeight="1">
      <c r="AL223" s="143"/>
    </row>
    <row r="224" spans="38:38" ht="18.649999999999999" customHeight="1">
      <c r="AL224" s="143"/>
    </row>
    <row r="225" spans="38:38" ht="18.649999999999999" customHeight="1">
      <c r="AL225" s="143"/>
    </row>
    <row r="226" spans="38:38" ht="18.649999999999999" customHeight="1">
      <c r="AL226" s="143"/>
    </row>
    <row r="227" spans="38:38" ht="18.649999999999999" customHeight="1">
      <c r="AL227" s="143"/>
    </row>
    <row r="228" spans="38:38" ht="18.649999999999999" customHeight="1">
      <c r="AL228" s="143"/>
    </row>
    <row r="229" spans="38:38" ht="18.649999999999999" customHeight="1">
      <c r="AL229" s="143"/>
    </row>
    <row r="230" spans="38:38" ht="18.649999999999999" customHeight="1">
      <c r="AL230" s="143"/>
    </row>
    <row r="231" spans="38:38" ht="18.649999999999999" customHeight="1">
      <c r="AL231" s="143"/>
    </row>
    <row r="232" spans="38:38" ht="18.649999999999999" customHeight="1">
      <c r="AL232" s="143"/>
    </row>
    <row r="233" spans="38:38" ht="18.649999999999999" customHeight="1">
      <c r="AL233" s="143"/>
    </row>
    <row r="234" spans="38:38" ht="18.649999999999999" customHeight="1">
      <c r="AL234" s="143"/>
    </row>
    <row r="235" spans="38:38" ht="18.649999999999999" customHeight="1">
      <c r="AL235" s="143"/>
    </row>
    <row r="236" spans="38:38" ht="18.649999999999999" customHeight="1">
      <c r="AL236" s="143"/>
    </row>
    <row r="237" spans="38:38" ht="18.649999999999999" customHeight="1">
      <c r="AL237" s="143"/>
    </row>
    <row r="238" spans="38:38" ht="18.649999999999999" customHeight="1">
      <c r="AL238" s="143"/>
    </row>
    <row r="239" spans="38:38" ht="18.649999999999999" customHeight="1">
      <c r="AL239" s="143"/>
    </row>
    <row r="240" spans="38:38" ht="18.649999999999999" customHeight="1">
      <c r="AL240" s="143"/>
    </row>
    <row r="241" spans="38:38" ht="18.649999999999999" customHeight="1">
      <c r="AL241" s="143"/>
    </row>
    <row r="242" spans="38:38" ht="18.649999999999999" customHeight="1">
      <c r="AL242" s="143"/>
    </row>
    <row r="243" spans="38:38" ht="18.649999999999999" customHeight="1">
      <c r="AL243" s="143"/>
    </row>
    <row r="244" spans="38:38" ht="18.649999999999999" customHeight="1">
      <c r="AL244" s="143"/>
    </row>
    <row r="245" spans="38:38" ht="18.649999999999999" customHeight="1">
      <c r="AL245" s="143"/>
    </row>
    <row r="246" spans="38:38" ht="18.649999999999999" customHeight="1">
      <c r="AL246" s="143"/>
    </row>
    <row r="247" spans="38:38" ht="18.649999999999999" customHeight="1">
      <c r="AL247" s="143"/>
    </row>
    <row r="248" spans="38:38" ht="18.649999999999999" customHeight="1">
      <c r="AL248" s="143"/>
    </row>
    <row r="249" spans="38:38" ht="18.649999999999999" customHeight="1">
      <c r="AL249" s="143"/>
    </row>
    <row r="250" spans="38:38" ht="18.649999999999999" customHeight="1">
      <c r="AL250" s="143"/>
    </row>
    <row r="251" spans="38:38" ht="18.649999999999999" customHeight="1">
      <c r="AL251" s="143"/>
    </row>
    <row r="252" spans="38:38" ht="18.649999999999999" customHeight="1">
      <c r="AL252" s="143"/>
    </row>
    <row r="253" spans="38:38" ht="18.649999999999999" customHeight="1">
      <c r="AL253" s="143"/>
    </row>
    <row r="254" spans="38:38" ht="18.649999999999999" customHeight="1">
      <c r="AL254" s="143"/>
    </row>
    <row r="255" spans="38:38" ht="18.649999999999999" customHeight="1">
      <c r="AL255" s="143"/>
    </row>
    <row r="256" spans="38:38" ht="18.649999999999999" customHeight="1">
      <c r="AL256" s="143"/>
    </row>
    <row r="257" spans="38:38" ht="18.649999999999999" customHeight="1">
      <c r="AL257" s="143"/>
    </row>
    <row r="258" spans="38:38" ht="18.649999999999999" customHeight="1">
      <c r="AL258" s="143"/>
    </row>
    <row r="259" spans="38:38" ht="18.649999999999999" customHeight="1">
      <c r="AL259" s="143"/>
    </row>
    <row r="260" spans="38:38" ht="18.649999999999999" customHeight="1">
      <c r="AL260" s="143"/>
    </row>
    <row r="261" spans="38:38" ht="18.649999999999999" customHeight="1">
      <c r="AL261" s="143"/>
    </row>
    <row r="262" spans="38:38" ht="18.649999999999999" customHeight="1">
      <c r="AL262" s="143"/>
    </row>
    <row r="263" spans="38:38" ht="18.649999999999999" customHeight="1">
      <c r="AL263" s="143"/>
    </row>
  </sheetData>
  <sheetProtection algorithmName="SHA-512" hashValue="H2+9QYe3tNovm7hWe0MrY6NPM/4cMTdufVIpP7FfEN6djavML7of18eptmVuMd69L/zXF957mlDm/I72lPMpAg==" saltValue="3jThlf5LZKaEx485g4kstg==" spinCount="100000" sheet="1" objects="1" scenarios="1" selectLockedCells="1"/>
  <mergeCells count="363">
    <mergeCell ref="AN39:AR39"/>
    <mergeCell ref="AS39:AT39"/>
    <mergeCell ref="AM70:AT70"/>
    <mergeCell ref="C18:H19"/>
    <mergeCell ref="AE18:AH19"/>
    <mergeCell ref="L18:O19"/>
    <mergeCell ref="S18:V19"/>
    <mergeCell ref="I31:X33"/>
    <mergeCell ref="Y31:AD33"/>
    <mergeCell ref="AE31:AT33"/>
    <mergeCell ref="AL36:AT37"/>
    <mergeCell ref="Y38:AD38"/>
    <mergeCell ref="N36:U37"/>
    <mergeCell ref="V36:AC37"/>
    <mergeCell ref="AD36:AK37"/>
    <mergeCell ref="AK38:AN38"/>
    <mergeCell ref="AP38:AT38"/>
    <mergeCell ref="I38:M38"/>
    <mergeCell ref="O38:R38"/>
    <mergeCell ref="T38:X38"/>
    <mergeCell ref="AE38:AI38"/>
    <mergeCell ref="I36:M37"/>
    <mergeCell ref="AM34:AT34"/>
    <mergeCell ref="AE34:AK34"/>
    <mergeCell ref="C38:H38"/>
    <mergeCell ref="AC43:AE43"/>
    <mergeCell ref="J51:M51"/>
    <mergeCell ref="AF39:AG39"/>
    <mergeCell ref="AH39:AM39"/>
    <mergeCell ref="AD49:AF50"/>
    <mergeCell ref="Q39:R39"/>
    <mergeCell ref="S39:T39"/>
    <mergeCell ref="U39:Z39"/>
    <mergeCell ref="X48:AC50"/>
    <mergeCell ref="U48:W50"/>
    <mergeCell ref="I48:N48"/>
    <mergeCell ref="I49:N50"/>
    <mergeCell ref="AJ48:AK48"/>
    <mergeCell ref="C39:H39"/>
    <mergeCell ref="I39:J39"/>
    <mergeCell ref="K39:L39"/>
    <mergeCell ref="N39:O39"/>
    <mergeCell ref="AA39:AE39"/>
    <mergeCell ref="X43:AB43"/>
    <mergeCell ref="C43:H43"/>
    <mergeCell ref="I43:N43"/>
    <mergeCell ref="O43:Q43"/>
    <mergeCell ref="R43:W43"/>
    <mergeCell ref="AK125:AN125"/>
    <mergeCell ref="AE119:AI119"/>
    <mergeCell ref="Z126:AD126"/>
    <mergeCell ref="Z122:AD122"/>
    <mergeCell ref="AN79:AO79"/>
    <mergeCell ref="C87:H88"/>
    <mergeCell ref="I87:S88"/>
    <mergeCell ref="T87:Y88"/>
    <mergeCell ref="Z87:AK88"/>
    <mergeCell ref="AL87:AT87"/>
    <mergeCell ref="AL88:AT88"/>
    <mergeCell ref="AS85:AT86"/>
    <mergeCell ref="AQ85:AR86"/>
    <mergeCell ref="AF80:AG80"/>
    <mergeCell ref="AD80:AE80"/>
    <mergeCell ref="AB80:AC80"/>
    <mergeCell ref="Z80:AA80"/>
    <mergeCell ref="T79:Y80"/>
    <mergeCell ref="I85:AA86"/>
    <mergeCell ref="AI85:AJ86"/>
    <mergeCell ref="AJ79:AK79"/>
    <mergeCell ref="AL79:AM79"/>
    <mergeCell ref="Q79:Q80"/>
    <mergeCell ref="Z79:AA79"/>
    <mergeCell ref="C121:H121"/>
    <mergeCell ref="I121:Y121"/>
    <mergeCell ref="Z121:AD121"/>
    <mergeCell ref="AE121:AT121"/>
    <mergeCell ref="I106:J107"/>
    <mergeCell ref="K106:L107"/>
    <mergeCell ref="M106:N107"/>
    <mergeCell ref="O106:P107"/>
    <mergeCell ref="C117:H117"/>
    <mergeCell ref="Z117:AD117"/>
    <mergeCell ref="AE117:AT117"/>
    <mergeCell ref="C108:H109"/>
    <mergeCell ref="C118:H120"/>
    <mergeCell ref="C112:H113"/>
    <mergeCell ref="I112:AT113"/>
    <mergeCell ref="I108:I109"/>
    <mergeCell ref="J108:K109"/>
    <mergeCell ref="AE118:AI118"/>
    <mergeCell ref="AK118:AN118"/>
    <mergeCell ref="M115:AT116"/>
    <mergeCell ref="Z119:AD119"/>
    <mergeCell ref="Q108:U109"/>
    <mergeCell ref="AP118:AT118"/>
    <mergeCell ref="AP119:AT119"/>
    <mergeCell ref="C89:H90"/>
    <mergeCell ref="AL89:AO90"/>
    <mergeCell ref="I89:R90"/>
    <mergeCell ref="S89:S90"/>
    <mergeCell ref="C91:H92"/>
    <mergeCell ref="Z89:AD90"/>
    <mergeCell ref="AE89:AE90"/>
    <mergeCell ref="T89:Y90"/>
    <mergeCell ref="AF89:AF90"/>
    <mergeCell ref="N92:V92"/>
    <mergeCell ref="W92:AA92"/>
    <mergeCell ref="AB92:AH92"/>
    <mergeCell ref="AI92:AM92"/>
    <mergeCell ref="AI91:AT91"/>
    <mergeCell ref="AT89:AT90"/>
    <mergeCell ref="AP89:AS90"/>
    <mergeCell ref="AN92:AO92"/>
    <mergeCell ref="I92:M92"/>
    <mergeCell ref="AG89:AJ90"/>
    <mergeCell ref="AK89:AK90"/>
    <mergeCell ref="C104:H105"/>
    <mergeCell ref="I104:R105"/>
    <mergeCell ref="T104:U104"/>
    <mergeCell ref="W104:X104"/>
    <mergeCell ref="V106:W107"/>
    <mergeCell ref="X106:Y107"/>
    <mergeCell ref="Q106:U107"/>
    <mergeCell ref="C110:H111"/>
    <mergeCell ref="I110:AT111"/>
    <mergeCell ref="Z108:AA109"/>
    <mergeCell ref="AB108:AC109"/>
    <mergeCell ref="AD108:AE109"/>
    <mergeCell ref="AF108:AG109"/>
    <mergeCell ref="AH108:AI109"/>
    <mergeCell ref="AJ108:AT109"/>
    <mergeCell ref="V108:W109"/>
    <mergeCell ref="X108:Y109"/>
    <mergeCell ref="Z106:AA107"/>
    <mergeCell ref="C106:H107"/>
    <mergeCell ref="T105:U105"/>
    <mergeCell ref="W105:X105"/>
    <mergeCell ref="Z105:AA105"/>
    <mergeCell ref="M108:M109"/>
    <mergeCell ref="N108:P109"/>
    <mergeCell ref="AG93:AL94"/>
    <mergeCell ref="C97:K98"/>
    <mergeCell ref="C93:H94"/>
    <mergeCell ref="C95:H96"/>
    <mergeCell ref="AL99:AM100"/>
    <mergeCell ref="AS93:AT94"/>
    <mergeCell ref="AD93:AE94"/>
    <mergeCell ref="AD99:AE100"/>
    <mergeCell ref="AF99:AG100"/>
    <mergeCell ref="AH99:AI100"/>
    <mergeCell ref="AO93:AP94"/>
    <mergeCell ref="Z93:AA94"/>
    <mergeCell ref="AJ97:AK98"/>
    <mergeCell ref="O93:P94"/>
    <mergeCell ref="R93:W94"/>
    <mergeCell ref="V99:AC100"/>
    <mergeCell ref="AH97:AI98"/>
    <mergeCell ref="Z95:AA96"/>
    <mergeCell ref="R95:W96"/>
    <mergeCell ref="V97:AC98"/>
    <mergeCell ref="AO95:AP96"/>
    <mergeCell ref="AD97:AE98"/>
    <mergeCell ref="AJ99:AK100"/>
    <mergeCell ref="AF97:AG98"/>
    <mergeCell ref="C133:H138"/>
    <mergeCell ref="I133:AT138"/>
    <mergeCell ref="AE127:AT127"/>
    <mergeCell ref="C129:H131"/>
    <mergeCell ref="J129:K129"/>
    <mergeCell ref="M129:N129"/>
    <mergeCell ref="O129:AT129"/>
    <mergeCell ref="I130:AT131"/>
    <mergeCell ref="AE123:AT123"/>
    <mergeCell ref="C124:H124"/>
    <mergeCell ref="Z124:AD124"/>
    <mergeCell ref="AE124:AT124"/>
    <mergeCell ref="Z125:AD125"/>
    <mergeCell ref="Z127:AD127"/>
    <mergeCell ref="C128:H128"/>
    <mergeCell ref="K128:T128"/>
    <mergeCell ref="W128:AF128"/>
    <mergeCell ref="AE126:AI126"/>
    <mergeCell ref="AK126:AN126"/>
    <mergeCell ref="AP126:AT126"/>
    <mergeCell ref="AE125:AI125"/>
    <mergeCell ref="AP125:AT125"/>
    <mergeCell ref="C125:H127"/>
    <mergeCell ref="Z123:AD123"/>
    <mergeCell ref="M102:AT103"/>
    <mergeCell ref="AD95:AE96"/>
    <mergeCell ref="AL97:AM98"/>
    <mergeCell ref="AG95:AL96"/>
    <mergeCell ref="L97:U98"/>
    <mergeCell ref="K95:L96"/>
    <mergeCell ref="O95:P96"/>
    <mergeCell ref="C99:K100"/>
    <mergeCell ref="L99:U100"/>
    <mergeCell ref="AN97:AQ98"/>
    <mergeCell ref="AR97:AS98"/>
    <mergeCell ref="AT97:AT98"/>
    <mergeCell ref="AK119:AN119"/>
    <mergeCell ref="Z118:AD118"/>
    <mergeCell ref="Z120:AD120"/>
    <mergeCell ref="AB106:AT107"/>
    <mergeCell ref="Z104:AA104"/>
    <mergeCell ref="AB104:AF105"/>
    <mergeCell ref="AG104:AN105"/>
    <mergeCell ref="AP104:AQ104"/>
    <mergeCell ref="AP105:AQ105"/>
    <mergeCell ref="AS105:AT105"/>
    <mergeCell ref="AS104:AT104"/>
    <mergeCell ref="AE120:AT120"/>
    <mergeCell ref="C3:AT4"/>
    <mergeCell ref="M25:AT26"/>
    <mergeCell ref="C35:H37"/>
    <mergeCell ref="J35:K35"/>
    <mergeCell ref="M35:N35"/>
    <mergeCell ref="C20:H22"/>
    <mergeCell ref="C27:H27"/>
    <mergeCell ref="I27:AT27"/>
    <mergeCell ref="C28:H30"/>
    <mergeCell ref="I28:AT30"/>
    <mergeCell ref="C34:H34"/>
    <mergeCell ref="I20:AM22"/>
    <mergeCell ref="AO20:AQ22"/>
    <mergeCell ref="AR20:AT22"/>
    <mergeCell ref="C31:H33"/>
    <mergeCell ref="J34:M34"/>
    <mergeCell ref="C11:H17"/>
    <mergeCell ref="C23:AT24"/>
    <mergeCell ref="AL18:AO19"/>
    <mergeCell ref="I15:AT15"/>
    <mergeCell ref="I16:AT16"/>
    <mergeCell ref="W34:AC34"/>
    <mergeCell ref="O34:U34"/>
    <mergeCell ref="C5:AT7"/>
    <mergeCell ref="AE122:AI122"/>
    <mergeCell ref="C40:H41"/>
    <mergeCell ref="I40:AT41"/>
    <mergeCell ref="C42:H42"/>
    <mergeCell ref="I42:AT42"/>
    <mergeCell ref="C48:H48"/>
    <mergeCell ref="AH80:AI80"/>
    <mergeCell ref="AJ80:AK80"/>
    <mergeCell ref="AL80:AM80"/>
    <mergeCell ref="C77:H78"/>
    <mergeCell ref="C49:H50"/>
    <mergeCell ref="AG49:AH50"/>
    <mergeCell ref="C76:H76"/>
    <mergeCell ref="C79:H80"/>
    <mergeCell ref="I79:J80"/>
    <mergeCell ref="K79:K80"/>
    <mergeCell ref="AS95:AT96"/>
    <mergeCell ref="K93:L94"/>
    <mergeCell ref="AK122:AN122"/>
    <mergeCell ref="AP122:AT122"/>
    <mergeCell ref="C51:H51"/>
    <mergeCell ref="AB85:AF86"/>
    <mergeCell ref="C122:H123"/>
    <mergeCell ref="I122:Y123"/>
    <mergeCell ref="AB79:AC79"/>
    <mergeCell ref="AD79:AE79"/>
    <mergeCell ref="R79:S80"/>
    <mergeCell ref="C83:H84"/>
    <mergeCell ref="I83:AT84"/>
    <mergeCell ref="C81:H82"/>
    <mergeCell ref="I81:AT82"/>
    <mergeCell ref="I77:AT78"/>
    <mergeCell ref="E74:H75"/>
    <mergeCell ref="T76:X76"/>
    <mergeCell ref="AD72:AK73"/>
    <mergeCell ref="T55:X55"/>
    <mergeCell ref="J69:AT69"/>
    <mergeCell ref="AE70:AK70"/>
    <mergeCell ref="I66:AA66"/>
    <mergeCell ref="I64:AA65"/>
    <mergeCell ref="AB64:AT65"/>
    <mergeCell ref="C52:H54"/>
    <mergeCell ref="C61:H65"/>
    <mergeCell ref="C66:H66"/>
    <mergeCell ref="AB66:AT66"/>
    <mergeCell ref="J52:K52"/>
    <mergeCell ref="M52:N52"/>
    <mergeCell ref="J71:K71"/>
    <mergeCell ref="M71:N71"/>
    <mergeCell ref="C69:H69"/>
    <mergeCell ref="I67:AA68"/>
    <mergeCell ref="AB67:AT68"/>
    <mergeCell ref="C67:H68"/>
    <mergeCell ref="AL53:AT54"/>
    <mergeCell ref="E71:H73"/>
    <mergeCell ref="AK49:AL50"/>
    <mergeCell ref="AS49:AT50"/>
    <mergeCell ref="AI49:AJ50"/>
    <mergeCell ref="AG48:AH48"/>
    <mergeCell ref="AM49:AN50"/>
    <mergeCell ref="AO49:AP50"/>
    <mergeCell ref="O48:T48"/>
    <mergeCell ref="O49:T50"/>
    <mergeCell ref="AL72:AT73"/>
    <mergeCell ref="AE55:AI55"/>
    <mergeCell ref="AK55:AN55"/>
    <mergeCell ref="V53:AC54"/>
    <mergeCell ref="AD53:AK54"/>
    <mergeCell ref="Y55:AD55"/>
    <mergeCell ref="I60:AT60"/>
    <mergeCell ref="AP55:AT55"/>
    <mergeCell ref="I63:AA63"/>
    <mergeCell ref="AB63:AT63"/>
    <mergeCell ref="J70:M70"/>
    <mergeCell ref="O70:U70"/>
    <mergeCell ref="N53:U54"/>
    <mergeCell ref="I72:M73"/>
    <mergeCell ref="N72:U73"/>
    <mergeCell ref="V72:AC73"/>
    <mergeCell ref="I117:P117"/>
    <mergeCell ref="Q117:Y117"/>
    <mergeCell ref="I118:P120"/>
    <mergeCell ref="Q118:Y120"/>
    <mergeCell ref="Q125:Y127"/>
    <mergeCell ref="I125:P127"/>
    <mergeCell ref="Q124:Y124"/>
    <mergeCell ref="I124:P124"/>
    <mergeCell ref="E70:H70"/>
    <mergeCell ref="W70:AC70"/>
    <mergeCell ref="I76:M76"/>
    <mergeCell ref="O76:R76"/>
    <mergeCell ref="I74:AT75"/>
    <mergeCell ref="AG85:AH86"/>
    <mergeCell ref="L79:M80"/>
    <mergeCell ref="N79:N80"/>
    <mergeCell ref="O79:P80"/>
    <mergeCell ref="AN80:AO80"/>
    <mergeCell ref="C85:H86"/>
    <mergeCell ref="AO85:AP86"/>
    <mergeCell ref="AM85:AN86"/>
    <mergeCell ref="AK85:AL86"/>
    <mergeCell ref="AF79:AG79"/>
    <mergeCell ref="AH79:AI79"/>
    <mergeCell ref="C8:AT8"/>
    <mergeCell ref="C9:AT9"/>
    <mergeCell ref="C10:AT10"/>
    <mergeCell ref="I14:AT14"/>
    <mergeCell ref="I11:AT11"/>
    <mergeCell ref="I12:AT12"/>
    <mergeCell ref="I13:AT13"/>
    <mergeCell ref="I61:AT62"/>
    <mergeCell ref="C55:H55"/>
    <mergeCell ref="AQ49:AR50"/>
    <mergeCell ref="AA44:AT44"/>
    <mergeCell ref="AD48:AF48"/>
    <mergeCell ref="I55:M55"/>
    <mergeCell ref="O55:R55"/>
    <mergeCell ref="I53:M54"/>
    <mergeCell ref="C60:H60"/>
    <mergeCell ref="M58:AT59"/>
    <mergeCell ref="M46:AT47"/>
    <mergeCell ref="AF43:AK43"/>
    <mergeCell ref="AL43:AT43"/>
    <mergeCell ref="O51:U51"/>
    <mergeCell ref="W51:AC51"/>
    <mergeCell ref="AE51:AK51"/>
    <mergeCell ref="AM51:AT51"/>
  </mergeCells>
  <phoneticPr fontId="3"/>
  <conditionalFormatting sqref="C3:AT4">
    <cfRule type="expression" dxfId="273" priority="7">
      <formula>OR($C$3="",$C$3="選択してください。")</formula>
    </cfRule>
  </conditionalFormatting>
  <conditionalFormatting sqref="I27">
    <cfRule type="expression" dxfId="272" priority="175">
      <formula>$I$27=""</formula>
    </cfRule>
  </conditionalFormatting>
  <conditionalFormatting sqref="I28">
    <cfRule type="expression" dxfId="271" priority="135">
      <formula>$I$28=""</formula>
    </cfRule>
  </conditionalFormatting>
  <conditionalFormatting sqref="I31">
    <cfRule type="expression" dxfId="270" priority="44">
      <formula>$AV$31="NG"</formula>
    </cfRule>
  </conditionalFormatting>
  <conditionalFormatting sqref="I36">
    <cfRule type="expression" dxfId="269" priority="41">
      <formula>OR(AV36="00",AV36="")</formula>
    </cfRule>
  </conditionalFormatting>
  <conditionalFormatting sqref="I38">
    <cfRule type="expression" dxfId="268" priority="130">
      <formula>$I$38=""</formula>
    </cfRule>
  </conditionalFormatting>
  <conditionalFormatting sqref="I48">
    <cfRule type="expression" dxfId="267" priority="173" stopIfTrue="1">
      <formula>I48=""</formula>
    </cfRule>
  </conditionalFormatting>
  <conditionalFormatting sqref="I53">
    <cfRule type="expression" dxfId="266" priority="33">
      <formula>OR(AV53="00",AV53="")</formula>
    </cfRule>
  </conditionalFormatting>
  <conditionalFormatting sqref="I55">
    <cfRule type="expression" dxfId="265" priority="77">
      <formula>$I$55=""</formula>
    </cfRule>
  </conditionalFormatting>
  <conditionalFormatting sqref="I64">
    <cfRule type="expression" dxfId="264" priority="27">
      <formula>$I$64=""</formula>
    </cfRule>
  </conditionalFormatting>
  <conditionalFormatting sqref="I72">
    <cfRule type="expression" dxfId="263" priority="19">
      <formula>OR(AV72="00",AV72="")</formula>
    </cfRule>
  </conditionalFormatting>
  <conditionalFormatting sqref="I76">
    <cfRule type="expression" dxfId="262" priority="74">
      <formula>$I$76=""</formula>
    </cfRule>
  </conditionalFormatting>
  <conditionalFormatting sqref="I104 AG104 I110 I112">
    <cfRule type="expression" dxfId="261" priority="183" stopIfTrue="1">
      <formula>I104=""</formula>
    </cfRule>
  </conditionalFormatting>
  <conditionalFormatting sqref="I79:J80">
    <cfRule type="expression" dxfId="260" priority="147">
      <formula>$I$79=""</formula>
    </cfRule>
  </conditionalFormatting>
  <conditionalFormatting sqref="I43:N43">
    <cfRule type="expression" dxfId="259" priority="122">
      <formula>$I$43=""</formula>
    </cfRule>
  </conditionalFormatting>
  <conditionalFormatting sqref="I49:N50">
    <cfRule type="expression" dxfId="258" priority="46">
      <formula>$I$49=""</formula>
    </cfRule>
  </conditionalFormatting>
  <conditionalFormatting sqref="I70:O70 V70:W70 AD70:AE70 AL70:AM70 I71:AT73">
    <cfRule type="expression" dxfId="257" priority="4">
      <formula>$AV$69=TRUE</formula>
    </cfRule>
  </conditionalFormatting>
  <conditionalFormatting sqref="I106:P107">
    <cfRule type="expression" dxfId="256" priority="182" stopIfTrue="1">
      <formula>$O$106=""</formula>
    </cfRule>
  </conditionalFormatting>
  <conditionalFormatting sqref="I108:P109">
    <cfRule type="expression" dxfId="255" priority="174">
      <formula>$AV$108=0</formula>
    </cfRule>
  </conditionalFormatting>
  <conditionalFormatting sqref="I93:Q94">
    <cfRule type="expression" dxfId="254" priority="92">
      <formula>$AV$94=0</formula>
    </cfRule>
  </conditionalFormatting>
  <conditionalFormatting sqref="I95:Q96">
    <cfRule type="expression" dxfId="253" priority="89">
      <formula>$AV$96=0</formula>
    </cfRule>
  </conditionalFormatting>
  <conditionalFormatting sqref="I89:R90">
    <cfRule type="expression" dxfId="252" priority="116">
      <formula>$I$89=""</formula>
    </cfRule>
  </conditionalFormatting>
  <conditionalFormatting sqref="I87:S88">
    <cfRule type="expression" dxfId="251" priority="142">
      <formula>$I$87=""</formula>
    </cfRule>
    <cfRule type="expression" dxfId="250" priority="143">
      <formula>$I$87="00：選択して下さい"</formula>
    </cfRule>
  </conditionalFormatting>
  <conditionalFormatting sqref="I117:Y127">
    <cfRule type="expression" dxfId="249" priority="171" stopIfTrue="1">
      <formula>I117=""</formula>
    </cfRule>
  </conditionalFormatting>
  <conditionalFormatting sqref="I18:AA19">
    <cfRule type="expression" dxfId="248" priority="169" stopIfTrue="1">
      <formula>$AV$12=0</formula>
    </cfRule>
  </conditionalFormatting>
  <conditionalFormatting sqref="I66:AA66">
    <cfRule type="expression" dxfId="247" priority="9">
      <formula>$AV$66="NG"</formula>
    </cfRule>
  </conditionalFormatting>
  <conditionalFormatting sqref="I67:AA68">
    <cfRule type="expression" dxfId="246" priority="25">
      <formula>$AV$68="NG"</formula>
    </cfRule>
  </conditionalFormatting>
  <conditionalFormatting sqref="I85:AA86">
    <cfRule type="expression" dxfId="245" priority="94">
      <formula>$I$85=""</formula>
    </cfRule>
  </conditionalFormatting>
  <conditionalFormatting sqref="I11:AT17">
    <cfRule type="expression" dxfId="244" priority="10" stopIfTrue="1">
      <formula>$AV$18=FALSE</formula>
    </cfRule>
  </conditionalFormatting>
  <conditionalFormatting sqref="I20:AT22">
    <cfRule type="expression" dxfId="243" priority="105">
      <formula>$AV$21=0</formula>
    </cfRule>
  </conditionalFormatting>
  <conditionalFormatting sqref="I40:AT41">
    <cfRule type="expression" dxfId="242" priority="124">
      <formula>$I$40=""</formula>
    </cfRule>
  </conditionalFormatting>
  <conditionalFormatting sqref="I60:AT62">
    <cfRule type="expression" dxfId="241" priority="23">
      <formula>I60=""</formula>
    </cfRule>
  </conditionalFormatting>
  <conditionalFormatting sqref="I74:AT75">
    <cfRule type="expression" dxfId="240" priority="22">
      <formula>$AV$74="NG"</formula>
    </cfRule>
  </conditionalFormatting>
  <conditionalFormatting sqref="I81:AT82">
    <cfRule type="expression" dxfId="239" priority="97">
      <formula>$I$81=""</formula>
    </cfRule>
  </conditionalFormatting>
  <conditionalFormatting sqref="I83:AT84">
    <cfRule type="expression" dxfId="238" priority="12">
      <formula>$AV$83="NG"</formula>
    </cfRule>
  </conditionalFormatting>
  <conditionalFormatting sqref="I128:AT128">
    <cfRule type="expression" dxfId="237" priority="112">
      <formula>$AV$128=0</formula>
    </cfRule>
  </conditionalFormatting>
  <conditionalFormatting sqref="J129 M129 I130">
    <cfRule type="expression" dxfId="236" priority="184" stopIfTrue="1">
      <formula>I129=""</formula>
    </cfRule>
  </conditionalFormatting>
  <conditionalFormatting sqref="J35:K35">
    <cfRule type="expression" dxfId="235" priority="43">
      <formula>$J$35=""</formula>
    </cfRule>
  </conditionalFormatting>
  <conditionalFormatting sqref="J52:K52">
    <cfRule type="expression" dxfId="234" priority="35">
      <formula>$J$52=""</formula>
    </cfRule>
  </conditionalFormatting>
  <conditionalFormatting sqref="J71:K71">
    <cfRule type="expression" dxfId="233" priority="21">
      <formula>$J$71=""</formula>
    </cfRule>
  </conditionalFormatting>
  <conditionalFormatting sqref="K39:L39">
    <cfRule type="expression" dxfId="232" priority="129">
      <formula>$K$39=""</formula>
    </cfRule>
  </conditionalFormatting>
  <conditionalFormatting sqref="L79:M80">
    <cfRule type="expression" dxfId="231" priority="146">
      <formula>$L$79=""</formula>
    </cfRule>
  </conditionalFormatting>
  <conditionalFormatting sqref="L97:U98">
    <cfRule type="expression" dxfId="230" priority="81">
      <formula>$AV$97=0</formula>
    </cfRule>
  </conditionalFormatting>
  <conditionalFormatting sqref="L99:U100">
    <cfRule type="expression" dxfId="229" priority="80">
      <formula>$AV$99=0</formula>
    </cfRule>
  </conditionalFormatting>
  <conditionalFormatting sqref="M35:N35">
    <cfRule type="expression" dxfId="228" priority="42">
      <formula>$M$35=""</formula>
    </cfRule>
  </conditionalFormatting>
  <conditionalFormatting sqref="M52:N52">
    <cfRule type="expression" dxfId="227" priority="34">
      <formula>$M$52=""</formula>
    </cfRule>
  </conditionalFormatting>
  <conditionalFormatting sqref="M71:N71">
    <cfRule type="expression" dxfId="226" priority="20">
      <formula>$M$71=""</formula>
    </cfRule>
  </conditionalFormatting>
  <conditionalFormatting sqref="N36">
    <cfRule type="expression" dxfId="225" priority="39">
      <formula>N36=""</formula>
    </cfRule>
  </conditionalFormatting>
  <conditionalFormatting sqref="N53">
    <cfRule type="expression" dxfId="224" priority="31">
      <formula>N53=""</formula>
    </cfRule>
  </conditionalFormatting>
  <conditionalFormatting sqref="N72">
    <cfRule type="expression" dxfId="223" priority="17">
      <formula>N72=""</formula>
    </cfRule>
  </conditionalFormatting>
  <conditionalFormatting sqref="N92 AB92 AN92 AQ92 AS92">
    <cfRule type="expression" dxfId="222" priority="2952" stopIfTrue="1">
      <formula>AND(OR($AV$91=TRUE,$AW$91=TRUE,$AX$91=TRUE,$AY$91=TRUE,$AZ$91=TRUE,$BA$91=TRUE,$BB$91=TRUE,$BC$91=TRUE),N92="")</formula>
    </cfRule>
  </conditionalFormatting>
  <conditionalFormatting sqref="N92 AB92 AN92:AT92">
    <cfRule type="expression" dxfId="221" priority="2957" stopIfTrue="1">
      <formula>AND($AV$91=FALSE,$AW$91=FALSE,$AX$91=FALSE,$AY$91=FALSE,$AZ$91=FALSE,$BA$91=FALSE,$BB$91=FALSE,$BC$91=FALSE)</formula>
    </cfRule>
  </conditionalFormatting>
  <conditionalFormatting sqref="N39:O39">
    <cfRule type="expression" dxfId="220" priority="128">
      <formula>$N$39=""</formula>
    </cfRule>
  </conditionalFormatting>
  <conditionalFormatting sqref="N34:U34">
    <cfRule type="expression" dxfId="219" priority="36">
      <formula>$O$34=""</formula>
    </cfRule>
  </conditionalFormatting>
  <conditionalFormatting sqref="N51:U51">
    <cfRule type="expression" dxfId="218" priority="28">
      <formula>$O$51=""</formula>
    </cfRule>
  </conditionalFormatting>
  <conditionalFormatting sqref="N70:U70">
    <cfRule type="expression" dxfId="217" priority="14">
      <formula>$O$70=""</formula>
    </cfRule>
  </conditionalFormatting>
  <conditionalFormatting sqref="O48">
    <cfRule type="expression" dxfId="216" priority="47" stopIfTrue="1">
      <formula>O48=""</formula>
    </cfRule>
  </conditionalFormatting>
  <conditionalFormatting sqref="O79:P80">
    <cfRule type="expression" dxfId="215" priority="145">
      <formula>$O$79=""</formula>
    </cfRule>
  </conditionalFormatting>
  <conditionalFormatting sqref="O38:R38">
    <cfRule type="expression" dxfId="214" priority="79">
      <formula>$O$38=""</formula>
    </cfRule>
  </conditionalFormatting>
  <conditionalFormatting sqref="O55:R55">
    <cfRule type="expression" dxfId="213" priority="76">
      <formula>$O$55=""</formula>
    </cfRule>
  </conditionalFormatting>
  <conditionalFormatting sqref="O76:R76">
    <cfRule type="expression" dxfId="212" priority="73">
      <formula>$O$76=""</formula>
    </cfRule>
  </conditionalFormatting>
  <conditionalFormatting sqref="O49:T50">
    <cfRule type="expression" dxfId="211" priority="45">
      <formula>$O$49=""</formula>
    </cfRule>
  </conditionalFormatting>
  <conditionalFormatting sqref="Q39:R39">
    <cfRule type="expression" dxfId="210" priority="127">
      <formula>$Q$39=""</formula>
    </cfRule>
  </conditionalFormatting>
  <conditionalFormatting sqref="R79:S80">
    <cfRule type="expression" dxfId="209" priority="144">
      <formula>$R$79=""</formula>
    </cfRule>
  </conditionalFormatting>
  <conditionalFormatting sqref="S104:AA105">
    <cfRule type="expression" dxfId="208" priority="180" stopIfTrue="1">
      <formula>$AV$104=0</formula>
    </cfRule>
  </conditionalFormatting>
  <conditionalFormatting sqref="T38:X38">
    <cfRule type="expression" dxfId="207" priority="78">
      <formula>$T$38=""</formula>
    </cfRule>
  </conditionalFormatting>
  <conditionalFormatting sqref="T55:X55">
    <cfRule type="expression" dxfId="206" priority="75">
      <formula>$T$55=""</formula>
    </cfRule>
  </conditionalFormatting>
  <conditionalFormatting sqref="T76:X76">
    <cfRule type="expression" dxfId="205" priority="72">
      <formula>$T$76=""</formula>
    </cfRule>
  </conditionalFormatting>
  <conditionalFormatting sqref="V36">
    <cfRule type="expression" dxfId="204" priority="38">
      <formula>V36=""</formula>
    </cfRule>
  </conditionalFormatting>
  <conditionalFormatting sqref="V53">
    <cfRule type="expression" dxfId="203" priority="30">
      <formula>V53=""</formula>
    </cfRule>
  </conditionalFormatting>
  <conditionalFormatting sqref="V72">
    <cfRule type="expression" dxfId="202" priority="16">
      <formula>V72=""</formula>
    </cfRule>
  </conditionalFormatting>
  <conditionalFormatting sqref="V106:AA107">
    <cfRule type="expression" dxfId="201" priority="181" stopIfTrue="1">
      <formula>$Z$106=""</formula>
    </cfRule>
  </conditionalFormatting>
  <conditionalFormatting sqref="V34:AC34">
    <cfRule type="expression" dxfId="200" priority="6">
      <formula>$W$34=""</formula>
    </cfRule>
  </conditionalFormatting>
  <conditionalFormatting sqref="V51:AC51">
    <cfRule type="expression" dxfId="199" priority="5">
      <formula>$W$51=""</formula>
    </cfRule>
  </conditionalFormatting>
  <conditionalFormatting sqref="V70:AC70">
    <cfRule type="expression" dxfId="198" priority="13">
      <formula>$W$70=""</formula>
    </cfRule>
  </conditionalFormatting>
  <conditionalFormatting sqref="V108:AI109">
    <cfRule type="expression" dxfId="197" priority="178" stopIfTrue="1">
      <formula>OR($V$108="",$X$108="",$Z$108="",$AB$108="",$AD$108="",$AF$108="",$AH$108="")</formula>
    </cfRule>
  </conditionalFormatting>
  <conditionalFormatting sqref="X48">
    <cfRule type="expression" dxfId="196" priority="48" stopIfTrue="1">
      <formula>X48=""</formula>
    </cfRule>
  </conditionalFormatting>
  <conditionalFormatting sqref="X43:AB43">
    <cfRule type="expression" dxfId="195" priority="121">
      <formula>$X$43=""</formula>
    </cfRule>
  </conditionalFormatting>
  <conditionalFormatting sqref="X93:AF94">
    <cfRule type="expression" dxfId="194" priority="91">
      <formula>$AW$94=0</formula>
    </cfRule>
  </conditionalFormatting>
  <conditionalFormatting sqref="X95:AF96">
    <cfRule type="expression" dxfId="193" priority="88">
      <formula>$AW$96=0</formula>
    </cfRule>
  </conditionalFormatting>
  <conditionalFormatting sqref="Z87">
    <cfRule type="expression" dxfId="192" priority="2958">
      <formula>AND($AV$88="07",$Z$87="")</formula>
    </cfRule>
  </conditionalFormatting>
  <conditionalFormatting sqref="Z89:AD90">
    <cfRule type="expression" dxfId="191" priority="115">
      <formula>$Z$89=""</formula>
    </cfRule>
  </conditionalFormatting>
  <conditionalFormatting sqref="Z87:AK88">
    <cfRule type="expression" dxfId="190" priority="2959">
      <formula>$AV$88&lt;"07"</formula>
    </cfRule>
  </conditionalFormatting>
  <conditionalFormatting sqref="AA39">
    <cfRule type="expression" dxfId="189" priority="126">
      <formula>$AA$39=""</formula>
    </cfRule>
  </conditionalFormatting>
  <conditionalFormatting sqref="AB64">
    <cfRule type="expression" dxfId="188" priority="26">
      <formula>$AV$64="NG"</formula>
    </cfRule>
  </conditionalFormatting>
  <conditionalFormatting sqref="AB18:AT19">
    <cfRule type="expression" dxfId="187" priority="49" stopIfTrue="1">
      <formula>$AV$13=0</formula>
    </cfRule>
  </conditionalFormatting>
  <conditionalFormatting sqref="AB67:AT68">
    <cfRule type="expression" dxfId="186" priority="24">
      <formula>$AV$67="NG"</formula>
    </cfRule>
  </conditionalFormatting>
  <conditionalFormatting sqref="AD36">
    <cfRule type="expression" dxfId="185" priority="37">
      <formula>AD36=""</formula>
    </cfRule>
  </conditionalFormatting>
  <conditionalFormatting sqref="AD53">
    <cfRule type="expression" dxfId="184" priority="29">
      <formula>AD53=""</formula>
    </cfRule>
  </conditionalFormatting>
  <conditionalFormatting sqref="AD72">
    <cfRule type="expression" dxfId="183" priority="15">
      <formula>AD72=""</formula>
    </cfRule>
  </conditionalFormatting>
  <conditionalFormatting sqref="AD34:AE34">
    <cfRule type="expression" dxfId="182" priority="40">
      <formula>$AE$34=""</formula>
    </cfRule>
  </conditionalFormatting>
  <conditionalFormatting sqref="AD51:AE51">
    <cfRule type="expression" dxfId="181" priority="32">
      <formula>$AE$51=""</formula>
    </cfRule>
  </conditionalFormatting>
  <conditionalFormatting sqref="AD70:AE70">
    <cfRule type="expression" dxfId="180" priority="18">
      <formula>$AE$70=""</formula>
    </cfRule>
  </conditionalFormatting>
  <conditionalFormatting sqref="AD97:AM98">
    <cfRule type="expression" dxfId="179" priority="83">
      <formula>$AV$97&lt;&gt;3</formula>
    </cfRule>
  </conditionalFormatting>
  <conditionalFormatting sqref="AD99:AM100">
    <cfRule type="expression" dxfId="178" priority="82">
      <formula>$AV$99&lt;&gt;2</formula>
    </cfRule>
  </conditionalFormatting>
  <conditionalFormatting sqref="AE118">
    <cfRule type="expression" dxfId="177" priority="71">
      <formula>$AE$118=""</formula>
    </cfRule>
  </conditionalFormatting>
  <conditionalFormatting sqref="AE120">
    <cfRule type="expression" dxfId="176" priority="138">
      <formula>$AE$120=""</formula>
    </cfRule>
  </conditionalFormatting>
  <conditionalFormatting sqref="AE122">
    <cfRule type="expression" dxfId="175" priority="52">
      <formula>$AE$122=""</formula>
    </cfRule>
  </conditionalFormatting>
  <conditionalFormatting sqref="AE123">
    <cfRule type="expression" dxfId="174" priority="168" stopIfTrue="1">
      <formula>AE123=""</formula>
    </cfRule>
  </conditionalFormatting>
  <conditionalFormatting sqref="AE125">
    <cfRule type="expression" dxfId="173" priority="68">
      <formula>$AE$125=""</formula>
    </cfRule>
  </conditionalFormatting>
  <conditionalFormatting sqref="AE127">
    <cfRule type="expression" dxfId="172" priority="109">
      <formula>$AE$127=""</formula>
    </cfRule>
  </conditionalFormatting>
  <conditionalFormatting sqref="AE31:AT33">
    <cfRule type="expression" dxfId="171" priority="8">
      <formula>$AV$32="NG"</formula>
    </cfRule>
  </conditionalFormatting>
  <conditionalFormatting sqref="AF97 AJ97">
    <cfRule type="expression" dxfId="170" priority="86">
      <formula>OR($AF$97="",$AJ$97="")</formula>
    </cfRule>
  </conditionalFormatting>
  <conditionalFormatting sqref="AF99 AJ99">
    <cfRule type="expression" dxfId="169" priority="84">
      <formula>OR($AF$99="",$AJ$99="")</formula>
    </cfRule>
  </conditionalFormatting>
  <conditionalFormatting sqref="AG89:AJ90">
    <cfRule type="expression" dxfId="168" priority="114">
      <formula>$AG$89=""</formula>
    </cfRule>
  </conditionalFormatting>
  <conditionalFormatting sqref="AG48:AL48">
    <cfRule type="expression" dxfId="167" priority="192" stopIfTrue="1">
      <formula>$AV$48=0</formula>
    </cfRule>
  </conditionalFormatting>
  <conditionalFormatting sqref="AI91">
    <cfRule type="expression" dxfId="166" priority="108" stopIfTrue="1">
      <formula>OR($AV$91=TRUE,$AW$91=TRUE,$AX$91=TRUE,$AY$91=TRUE,$AZ$91=TRUE,$BA$91=TRUE,$BB$91=TRUE,$BC$91=TRUE)</formula>
    </cfRule>
  </conditionalFormatting>
  <conditionalFormatting sqref="AI49:AJ50">
    <cfRule type="expression" dxfId="165" priority="161">
      <formula>$AI$49=""</formula>
    </cfRule>
  </conditionalFormatting>
  <conditionalFormatting sqref="AI85:AJ86 AM85:AN86 AQ85:AR86">
    <cfRule type="expression" dxfId="164" priority="93">
      <formula>OR($AI$85="",$AM$85="",$AQ$85="")</formula>
    </cfRule>
  </conditionalFormatting>
  <conditionalFormatting sqref="AK118:AN118">
    <cfRule type="expression" dxfId="163" priority="70">
      <formula>$AK$118=""</formula>
    </cfRule>
  </conditionalFormatting>
  <conditionalFormatting sqref="AK122:AN122">
    <cfRule type="expression" dxfId="162" priority="51">
      <formula>$AK$122=""</formula>
    </cfRule>
  </conditionalFormatting>
  <conditionalFormatting sqref="AK125:AN125">
    <cfRule type="expression" dxfId="161" priority="67">
      <formula>$AK$125=""</formula>
    </cfRule>
  </conditionalFormatting>
  <conditionalFormatting sqref="AL43:AT43">
    <cfRule type="expression" dxfId="160" priority="104">
      <formula>AND($AL$43="",$AV$13&lt;&gt;2)</formula>
    </cfRule>
  </conditionalFormatting>
  <conditionalFormatting sqref="AM49:AN50">
    <cfRule type="expression" dxfId="159" priority="160">
      <formula>$AM$49=""</formula>
    </cfRule>
  </conditionalFormatting>
  <conditionalFormatting sqref="AM93:AT94">
    <cfRule type="expression" dxfId="158" priority="90">
      <formula>$AX$94=0</formula>
    </cfRule>
  </conditionalFormatting>
  <conditionalFormatting sqref="AM95:AT96">
    <cfRule type="expression" dxfId="157" priority="87">
      <formula>$AX$96=0</formula>
    </cfRule>
  </conditionalFormatting>
  <conditionalFormatting sqref="AN97:AQ98">
    <cfRule type="expression" dxfId="156" priority="1">
      <formula>AND($AW$96&lt;2,$AX$96&lt;2)</formula>
    </cfRule>
  </conditionalFormatting>
  <conditionalFormatting sqref="AN39:AR39">
    <cfRule type="expression" dxfId="155" priority="125">
      <formula>$AN$39=""</formula>
    </cfRule>
  </conditionalFormatting>
  <conditionalFormatting sqref="AO104:AT105">
    <cfRule type="expression" dxfId="154" priority="179" stopIfTrue="1">
      <formula>$AV$105=0</formula>
    </cfRule>
  </conditionalFormatting>
  <conditionalFormatting sqref="AP89:AS90">
    <cfRule type="expression" dxfId="153" priority="113">
      <formula>$AP$89=""</formula>
    </cfRule>
  </conditionalFormatting>
  <conditionalFormatting sqref="AP118:AT118">
    <cfRule type="expression" dxfId="152" priority="69">
      <formula>$AP$118=""</formula>
    </cfRule>
  </conditionalFormatting>
  <conditionalFormatting sqref="AP122:AT122">
    <cfRule type="expression" dxfId="151" priority="50">
      <formula>$AP$122=""</formula>
    </cfRule>
  </conditionalFormatting>
  <conditionalFormatting sqref="AP125:AT125">
    <cfRule type="expression" dxfId="150" priority="66">
      <formula>$AP$125=""</formula>
    </cfRule>
  </conditionalFormatting>
  <conditionalFormatting sqref="AQ49:AR50">
    <cfRule type="expression" dxfId="149" priority="159">
      <formula>$AQ$49=""</formula>
    </cfRule>
  </conditionalFormatting>
  <conditionalFormatting sqref="AR97:AS98">
    <cfRule type="expression" dxfId="148" priority="3">
      <formula>$AR$97=""</formula>
    </cfRule>
  </conditionalFormatting>
  <conditionalFormatting sqref="AR97:AT98">
    <cfRule type="expression" dxfId="147" priority="2">
      <formula>AND($AW$96&lt;2,$AX$96&lt;2)</formula>
    </cfRule>
  </conditionalFormatting>
  <dataValidations count="120">
    <dataValidation type="whole" imeMode="disabled" allowBlank="1" showInputMessage="1" showErrorMessage="1" sqref="I106:P107 V106:AA107 V108:AI109" xr:uid="{00000000-0002-0000-0700-000000000000}">
      <formula1>0</formula1>
      <formula2>9</formula2>
    </dataValidation>
    <dataValidation type="whole" imeMode="disabled" allowBlank="1" showInputMessage="1" showErrorMessage="1" sqref="AI49:AJ50 AI85:AJ86 AF97:AG100" xr:uid="{00000000-0002-0000-0700-000001000000}">
      <formula1>1900</formula1>
      <formula2>2300</formula2>
    </dataValidation>
    <dataValidation type="whole" imeMode="disabled" allowBlank="1" showInputMessage="1" showErrorMessage="1" sqref="AN92:AO92 K39:L39" xr:uid="{00000000-0002-0000-0700-000002000000}">
      <formula1>1000</formula1>
      <formula2>2300</formula2>
    </dataValidation>
    <dataValidation type="textLength" imeMode="disabled" operator="equal" allowBlank="1" showInputMessage="1" showErrorMessage="1" sqref="M52:N52 M129:N129 M35:N35 M71:N71" xr:uid="{00000000-0002-0000-0700-000003000000}">
      <formula1>4</formula1>
    </dataValidation>
    <dataValidation type="textLength" imeMode="disabled" operator="equal" allowBlank="1" showInputMessage="1" showErrorMessage="1" sqref="J52:K52 J129:K129 J35:K35 J71:K71" xr:uid="{00000000-0002-0000-0700-000004000000}">
      <formula1>3</formula1>
    </dataValidation>
    <dataValidation type="custom" imeMode="fullKatakana" allowBlank="1" showInputMessage="1" showErrorMessage="1" errorTitle="カナ入力" error="カナで入力して下さい" sqref="I121:Y121 I60:AT60 I117:Y117 I124:Y124" xr:uid="{00000000-0002-0000-0700-000005000000}">
      <formula1>AND(I60=PHONETIC(I60), LEN(I60)*2=LENB(I60))</formula1>
    </dataValidation>
    <dataValidation type="custom" imeMode="fullKatakana" allowBlank="1" showInputMessage="1" showErrorMessage="1" errorTitle="カナ" error="カナで入力して下さい" sqref="I27:AT27" xr:uid="{00000000-0002-0000-0700-000006000000}">
      <formula1>AND(I27=PHONETIC(I27), LEN(I27)*2=LENB(I27),LEN(I27)&lt;61)</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10:AT111" xr:uid="{00000000-0002-0000-0700-000007000000}">
      <formula1>ISERROR(FIND("・",I110))</formula1>
    </dataValidation>
    <dataValidation type="whole" imeMode="disabled" allowBlank="1" showInputMessage="1" showErrorMessage="1" sqref="AQ49:AR50 AS92 AQ85:AR86 AO99:AO100 AN99:AN100" xr:uid="{00000000-0002-0000-0700-000008000000}">
      <formula1>1</formula1>
      <formula2>31</formula2>
    </dataValidation>
    <dataValidation type="whole" imeMode="disabled" allowBlank="1" showInputMessage="1" showErrorMessage="1" sqref="N39:O39 AM49:AN50 AQ92 AM85:AN86 AJ97:AK100" xr:uid="{00000000-0002-0000-0700-000009000000}">
      <formula1>1</formula1>
      <formula2>12</formula2>
    </dataValidation>
    <dataValidation type="custom" imeMode="hiragana" allowBlank="1" showInputMessage="1" showErrorMessage="1" errorTitle="文字数制限がございます" error="200文字以内でご記入下さい。" sqref="I40:AT41" xr:uid="{00000000-0002-0000-0700-00000A000000}">
      <formula1>LENB(I40)&lt;=200</formula1>
    </dataValidation>
    <dataValidation type="whole" imeMode="disabled" allowBlank="1" showInputMessage="1" showErrorMessage="1" promptTitle="年商" prompt="設立初年度などは『0』とご入力下さい。" sqref="AN39:AR39" xr:uid="{00000000-0002-0000-0700-00000B000000}">
      <formula1>0</formula1>
      <formula2>999999999</formula2>
    </dataValidation>
    <dataValidation type="whole" imeMode="disabled" allowBlank="1" showInputMessage="1" showErrorMessage="1" sqref="AA39:AE39" xr:uid="{00000000-0002-0000-0700-00000C000000}">
      <formula1>0</formula1>
      <formula2>99999999</formula2>
    </dataValidation>
    <dataValidation type="textLength" imeMode="halfAlpha" operator="equal" allowBlank="1" showInputMessage="1" showErrorMessage="1" sqref="AG65458:AK65458 AG130994:AK130994 AG196530:AK196530 AG262066:AK262066 AG327602:AK327602 AG393138:AK393138 AG458674:AK458674 AG524210:AK524210 AG589746:AK589746 AG655282:AK655282 AG720818:AK720818 AG786354:AK786354 AG851890:AK851890 AG917426:AK917426 AG982962:AK982962" xr:uid="{00000000-0002-0000-0700-00000D000000}">
      <formula1>7</formula1>
    </dataValidation>
    <dataValidation type="whole" imeMode="halfAlpha" allowBlank="1" showInputMessage="1" showErrorMessage="1" sqref="AN65510:AO65510 AN131046:AO131046 AN196582:AO196582 AN262118:AO262118 AN327654:AO327654 AN393190:AO393190 AN458726:AO458726 AN524262:AO524262 AN589798:AO589798 AN655334:AO655334 AN720870:AO720870 AN786406:AO786406 AN851942:AO851942 AN917478:AO917478 AN983014:AO983014" xr:uid="{00000000-0002-0000-0700-00000E000000}">
      <formula1>1000</formula1>
      <formula2>2099</formula2>
    </dataValidation>
    <dataValidation type="whole" imeMode="halfAlpha" allowBlank="1" showInputMessage="1" showErrorMessage="1" sqref="W65505:X65505 W131041:X131041 W196577:X196577 W262113:X262113 W327649:X327649 W393185:X393185 W458721:X458721 W524257:X524257 W589793:X589793 W655329:X655329 W720865:X720865 W786401:X786401 W851937:X851937 W917473:X917473 W983009:X983009" xr:uid="{00000000-0002-0000-0700-00000F000000}">
      <formula1>2014</formula1>
      <formula2>2099</formula2>
    </dataValidation>
    <dataValidation type="list" allowBlank="1" showInputMessage="1" showErrorMessage="1" sqref="AL983011:AT983011 AL917475:AT917475 AL851939:AT851939 AL786403:AT786403 AL720867:AT720867 AL655331:AT655331 AL589795:AT589795 AL524259:AT524259 AL458723:AT458723 AL393187:AT393187 AL327651:AT327651 AL262115:AT262115 AL196579:AT196579 AL131043:AT131043 AL65507:AT65507" xr:uid="{00000000-0002-0000-0700-000010000000}">
      <formula1>$AZ$2:$AZ$9</formula1>
    </dataValidation>
    <dataValidation imeMode="halfAlpha" allowBlank="1" showInputMessage="1" showErrorMessage="1" prompt="特商法ページのURLを記載して下さい。_x000a_その際、http://やhttps://を省略しないようお願いいたします。" sqref="I65652:AI65652 I131188:AI131188 I196724:AI196724 I262260:AI262260 I327796:AI327796 I393332:AI393332 I458868:AI458868 I524404:AI524404 I589940:AI589940 I655476:AI655476 I721012:AI721012 I786548:AI786548 I852084:AI852084 I917620:AI917620 I983156:AI983156" xr:uid="{00000000-0002-0000-0700-000011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9:Y983130 I65625:Y65626 I131161:Y131162 I196697:Y196698 I262233:Y262234 I327769:Y327770 I393305:Y393306 I458841:Y458842 I524377:Y524378 I589913:Y589914 I655449:Y655450 I720985:Y720986 I786521:Y786522 I852057:Y852058 I917593:Y917594" xr:uid="{00000000-0002-0000-0700-000012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22:Y123 I65628:Y65629 I131164:Y131165 I196700:Y196701 I262236:Y262237 I327772:Y327773 I393308:Y393309 I458844:Y458845 I524380:Y524381 I589916:Y589917 I655452:Y655453 I720988:Y720989 I786524:Y786525 I852060:Y852061 I917596:Y917597 I983132:Y983133" xr:uid="{00000000-0002-0000-0700-000013000000}"/>
    <dataValidation imeMode="hiragana" allowBlank="1" showInputMessage="1" showErrorMessage="1" promptTitle="売上報告担当" prompt="収納レポートやご請求書の送付先となります。" sqref="I983135:Y983136 I65631:Y65632 I131167:Y131168 I196703:Y196704 I262239:Y262240 I327775:Y327776 I393311:Y393312 I458847:Y458848 I524383:Y524384 I589919:Y589920 I655455:Y655456 I720991:Y720992 I786527:Y786528 I852063:Y852064 I917599:Y917600 U128:W128 I128:K128" xr:uid="{00000000-0002-0000-0700-000014000000}"/>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51:AT983152 I65647:AT65648 I131183:AT131184 I196719:AT196720 I262255:AT262256 I327791:AT327792 I393327:AT393328 I458863:AT458864 I524399:AT524400 I589935:AT589936 I655471:AT655472 I721007:AT721008 I786543:AT786544 I852079:AT852080 I917615:AT917616" xr:uid="{00000000-0002-0000-0700-000015000000}"/>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3002:AT983003 I65498:AT65499 I131034:AT131035 I196570:AT196571 I262106:AT262107 I327642:AT327643 I393178:AT393179 I458714:AT458715 I524250:AT524251 I589786:AT589787 I655322:AT655323 I720858:AT720859 I786394:AT786395 I851930:AT851931 I917466:AT917467" xr:uid="{00000000-0002-0000-0700-000016000000}">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3005:AA983006 I65501:AA65502 I131037:AA131038 I196573:AA196574 I262109:AA262110 I327645:AA327646 I393181:AA393182 I458717:AA458718 I524253:AA524254 I589789:AA589790 I655325:AA655326 I720861:AA720862 I786397:AA786398 I851933:AA851934 I917469:AA917470" xr:uid="{00000000-0002-0000-0700-000017000000}">
      <formula1>12</formula1>
    </dataValidation>
    <dataValidation type="whole" imeMode="halfAlpha" allowBlank="1" showInputMessage="1" showErrorMessage="1" sqref="Q39:R39 Q65489:R65489 Q131025:R131025 Q196561:R196561 Q262097:R262097 Q327633:R327633 Q393169:R393169 Q458705:R458705 Q524241:R524241 Q589777:R589777 Q655313:R655313 Q720849:R720849 Q786385:R786385 Q851921:R851921 Q917457:R917457 Q982993:R982993 AB65505 AB131041 AB196577 AB262113 AB327649 AB393185 AB458721 AB524257 AB589793 AB655329 AB720865 AB786401 AB851937 AB917473 AB983009 AS65510 AS131046 AS196582 AS262118 AS327654 AS393190 AS458726 AS524262 AS589798 AS655334 AS720870 AS786406 AS851942 AS917478 AS983014 U65476:W65477 U131012:W131013 U196548:W196549 U262084:W262085 U327620:W327621 U393156:W393157 U458692:W458693 U524228:W524229 U589764:W589765 U655300:W655301 U720836:W720837 U786372:W786373 U851908:W851909 U917444:W917445 U982980:W982981" xr:uid="{00000000-0002-0000-0700-000018000000}">
      <formula1>1</formula1>
      <formula2>31</formula2>
    </dataValidation>
    <dataValidation imeMode="hiragana" allowBlank="1" showInputMessage="1" showErrorMessage="1" promptTitle="会社所在地" prompt="都道府県名からご記入下さい" sqref="Y76:AT76 I65486:AT65487 I131022:AT131023 I196558:AT196559 I262094:AT262095 I327630:AT327631 I393166:AT393167 I458702:AT458703 I524238:AT524239 I589774:AT589775 I655310:AT655311 I720846:AT720847 I786382:AT786383 I851918:AT851919 I917454:AT917455 I982990:AT982991" xr:uid="{00000000-0002-0000-0700-000019000000}"/>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56:AF983056 AC65552:AF65552 AC131088:AF131088 AC196624:AF196624 AC262160:AF262160 AC327696:AF327696 AC393232:AF393232 AC458768:AF458768 AC524304:AF524304 AC589840:AF589840 AC655376:AF655376 AC720912:AF720912 AC786448:AF786448 AC851984:AF851984 AC917520:AF917520" xr:uid="{00000000-0002-0000-0700-00001A00000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56:AJ983056 AG65552:AJ65552 AG131088:AJ131088 AG196624:AJ196624 AG262160:AJ262160 AG327696:AJ327696 AG393232:AJ393232 AG458768:AJ458768 AG524304:AJ524304 AG589840:AJ589840 AG655376:AJ655376 AG720912:AJ720912 AG786448:AJ786448 AG851984:AJ851984 AG917520:AJ917520" xr:uid="{00000000-0002-0000-0700-00001B000000}">
      <formula1>#REF!</formula1>
    </dataValidation>
    <dataValidation type="textLength" imeMode="halfAlpha" operator="greaterThanOrEqual" allowBlank="1" showInputMessage="1" showErrorMessage="1" sqref="AB65510:AH65510 AB131046:AH131046 AB196582:AH196582 AB262118:AH262118 AB327654:AH327654 AB393190:AH393190 AB458726:AH458726 AB524262:AH524262 AB589798:AH589798 AB655334:AH655334 AB720870:AH720870 AB786406:AH786406 AB851942:AH851942 AB917478:AH917478 AB983014:AH983014" xr:uid="{00000000-0002-0000-0700-00001C000000}">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3007:AH983008 I65503:AH65504 I131039:AH131040 I196575:AH196576 I262111:AH262112 I327647:AH327648 I393183:AH393184 I458719:AH458720 I524255:AH524256 I589791:AH589792 I655327:AH655328 I720863:AH720864 I786399:AH786400 I851935:AH851936 I917471:AH917472" xr:uid="{00000000-0002-0000-0700-00001D000000}"/>
    <dataValidation imeMode="fullKatakana" allowBlank="1" showInputMessage="1" showErrorMessage="1" sqref="I983134:Y983134 I65481:AT65481 I131017:AT131017 I196553:AT196553 I262089:AT262089 I327625:AT327625 I393161:AT393161 I458697:AT458697 I524233:AT524233 I589769:AT589769 I655305:AT655305 I720841:AT720841 I786377:AT786377 I851913:AT851913 I917449:AT917449 I982985:AT982985 I917598:Y917598 I65484:AT65484 I131020:AT131020 I196556:AT196556 I262092:AT262092 I327628:AT327628 I393164:AT393164 I458700:AT458700 I524236:AT524236 I589772:AT589772 I655308:AT655308 I720844:AT720844 I786380:AT786380 I851916:AT851916 I917452:AT917452 I982988:AT982988 I852062:Y852062 I65492:Q65492 I131028:Q131028 I196564:Q196564 I262100:Q262100 I327636:Q327636 I393172:Q393172 I458708:Q458708 I524244:Q524244 I589780:Q589780 I655316:Q655316 I720852:Q720852 I786388:Q786388 I851924:Q851924 I917460:Q917460 I982996:Q982996 I786526:Y786526 I65500:AA65500 I131036:AA131036 I196572:AA196572 I262108:AA262108 I327644:AA327644 I393180:AA393180 I458716:AA458716 I524252:AA524252 I589788:AA589788 I655324:AA655324 I720860:AA720860 I786396:AA786396 I851932:AA851932 I917468:AA917468 I983004:AA983004 I720990:Y720990 I65624:Y65624 I131160:Y131160 I196696:Y196696 I262232:Y262232 I327768:Y327768 I393304:Y393304 I458840:Y458840 I524376:Y524376 I589912:Y589912 I655448:Y655448 I720984:Y720984 I786520:Y786520 I852056:Y852056 I917592:Y917592 I983128:Y983128 I655454:Y655454 I65627:Y65627 I131163:Y131163 I196699:Y196699 I262235:Y262235 I327771:Y327771 I393307:Y393307 I458843:Y458843 I524379:Y524379 I589915:Y589915 I655451:Y655451 I720987:Y720987 I786523:Y786523 I852059:Y852059 I917595:Y917595 I983131:Y983131 I589918:Y589918 I65630:Y65630 I131166:Y131166 I196702:Y196702 I262238:Y262238 I327774:Y327774 I393310:Y393310 I458846:Y458846 I524382:Y524382" xr:uid="{00000000-0002-0000-0700-00001E000000}"/>
    <dataValidation imeMode="hiragana" allowBlank="1" showInputMessage="1" showErrorMessage="1" promptTitle="ご確認下さい！" prompt="該当サイトが公開前の場合、必ず別途サービス概要資料や商材価格表をご提出下さい。" sqref="I983010:AK983011 I65506:AK65507 I131042:AK131043 I196578:AK196579 I262114:AK262115 I327650:AK327651 I393186:AK393187 I458722:AK458723 I524258:AK524259 I589794:AK589795 I655330:AK655331 I720866:AK720867 I786402:AK786403 I851938:AK851939 I917474:AK917475" xr:uid="{00000000-0002-0000-0700-00001F000000}"/>
    <dataValidation type="whole" imeMode="halfAlpha" allowBlank="1" showInputMessage="1" showErrorMessage="1" sqref="P982980:R982981 AM65493:AN65494 AM131029:AN131030 AM196565:AN196566 AM262101:AN262102 AM327637:AN327638 AM393173:AN393174 AM458709:AN458710 AM524245:AN524246 AM589781:AN589782 AM655317:AN655318 AM720853:AN720854 AM786389:AN786390 AM851925:AN851926 AM917461:AN917462 AM982997:AN982998 P917444:R917445 N65489:O65489 N131025:O131025 N196561:O196561 N262097:O262097 N327633:O327633 N393169:O393169 N458705:O458705 N524241:O524241 N589777:O589777 N655313:O655313 N720849:O720849 N786385:O786385 N851921:O851921 N917457:O917457 N982993:O982993 Z65505 Z131041 Z196577 Z262113 Z327649 Z393185 Z458721 Z524257 Z589793 Z655329 Z720865 Z786401 Z851937 Z917473 Z983009 AQ65510 AQ131046 AQ196582 AQ262118 AQ327654 AQ393190 AQ458726 AQ524262 AQ589798 AQ655334 AQ720870 AQ786406 AQ851942 AQ917478 AQ983014 P65476:R65477 P131012:R131013 P196548:R196549 P262084:R262085 P327620:R327621 P393156:R393157 P458692:R458693 P524228:R524229 P589764:R589765 P655300:R655301 P720836:R720837 P786372:R786373 P851908:R851909" xr:uid="{00000000-0002-0000-0700-000020000000}">
      <formula1>1</formula1>
      <formula2>12</formula2>
    </dataValidation>
    <dataValidation type="whole" imeMode="halfAlpha" allowBlank="1" showInputMessage="1" showErrorMessage="1" sqref="K65476:M65477 K131012:M131013 K196548:M196549 K262084:M262085 K327620:M327621 K393156:M393157 K458692:M458693 K524228:M524229 K589764:M589765 K655300:M655301 K720836:M720837 K786372:M786373 K851908:M851909 K917444:M917445 K982980:M982981" xr:uid="{00000000-0002-0000-0700-000021000000}">
      <formula1>2014</formula1>
      <formula2>2020</formula2>
    </dataValidation>
    <dataValidation type="textLength" imeMode="halfAlpha" operator="equal" allowBlank="1" showInputMessage="1" showErrorMessage="1" sqref="M983137:N983137 M65485:P65485 M131021:P131021 M196557:P196557 M262093:P262093 M327629:P327629 M393165:P393165 M458701:P458701 M524237:P524237 M589773:P589773 M655309:P655309 M720845:P720845 M786381:P786381 M851917:P851917 M917453:P917453 M982989:P982989 O52:P52 M65633:N65633 M131169:N131169 M196705:N196705 M262241:N262241 M327777:N327777 M393313:N393313 M458849:N458849 M524385:N524385 M589921:N589921 M655457:N655457 M720993:N720993 M786529:N786529 M852065:N852065 M917601:N917601 O35:P35 O71:P71" xr:uid="{00000000-0002-0000-0700-000022000000}">
      <formula1>4</formula1>
    </dataValidation>
    <dataValidation type="textLength" imeMode="halfAlpha" operator="equal" allowBlank="1" showInputMessage="1" showErrorMessage="1" sqref="J983137:K983137 J65485:K65485 J131021:K131021 J196557:K196557 J262093:K262093 J327629:K327629 J393165:K393165 J458701:K458701 J524237:K524237 J589773:K589773 J655309:K655309 J720845:K720845 J786381:K786381 J851917:K851917 J917453:K917453 J982989:K982989 J917601:K917601 J65633:K65633 J131169:K131169 J196705:K196705 J262241:K262241 J327777:K327777 J393313:K393313 J458849:K458849 J524385:K524385 J589921:K589921 J655457:K655457 J720993:K720993 J786529:K786529 J852065:K852065" xr:uid="{00000000-0002-0000-0700-000023000000}">
      <formula1>3</formula1>
    </dataValidation>
    <dataValidation type="whole" imeMode="halfAlpha" allowBlank="1" showInputMessage="1" showErrorMessage="1" sqref="K982993:L982993 K65489:L65489 K131025:L131025 K196561:L196561 K262097:L262097 K327633:L327633 K393169:L393169 K458705:L458705 K524241:L524241 K589777:L589777 K655313:L655313 K720849:L720849 K786385:L786385 K851921:L851921 K917457:L917457" xr:uid="{00000000-0002-0000-0700-000024000000}">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3005:AT983006 AB65501:AT65502 AB131037:AT131038 AB196573:AT196574 AB262109:AT262110 AB327645:AT327646 AB393181:AT393182 AB458717:AT458718 AB524253:AT524254 AB589789:AT589790 AB655325:AT655326 AB720861:AT720862 AB786397:AT786398 AB851933:AT851934 AB917469:AT917470" xr:uid="{00000000-0002-0000-0700-000025000000}">
      <formula1>25</formula1>
    </dataValidation>
    <dataValidation type="whole" imeMode="halfAlpha" allowBlank="1" showInputMessage="1" showErrorMessage="1" sqref="AI982997:AJ982998 AI65493:AJ65494 AI131029:AJ131030 AI196565:AJ196566 AI262101:AJ262102 AI327637:AJ327638 AI393173:AJ393174 AI458709:AJ458710 AI524245:AJ524246 AI589781:AJ589782 AI655317:AJ655318 AI720853:AJ720854 AI786389:AJ786390 AI851925:AJ851926 AI917461:AJ917462" xr:uid="{00000000-0002-0000-0700-000026000000}">
      <formula1>1900</formula1>
      <formula2>2020</formula2>
    </dataValidation>
    <dataValidation type="textLength" imeMode="halfAlpha" allowBlank="1" showInputMessage="1" showErrorMessage="1" sqref="I65458 I130994 I196530 I262066 I327602 I393138 I458674 I524210 I589746 I655282 I720818 I786354 I851890 I917426 I982962" xr:uid="{00000000-0002-0000-0700-000027000000}">
      <formula1>5</formula1>
      <formula2>5</formula2>
    </dataValidation>
    <dataValidation type="textLength" imeMode="halfAlpha" allowBlank="1" showInputMessage="1" showErrorMessage="1" sqref="R65458 R130994 R196530 R262066 R327602 R393138 R458674 R524210 R589746 R655282 R720818 R786354 R851890 R917426 R982962" xr:uid="{00000000-0002-0000-0700-000028000000}">
      <formula1>3</formula1>
      <formula2>3</formula2>
    </dataValidation>
    <dataValidation type="whole" imeMode="halfAlpha" allowBlank="1" showInputMessage="1" showErrorMessage="1" sqref="AA982993:AE982993 AA65489:AE65489 AA131025:AE131025 AA196561:AE196561 AA262097:AE262097 AA327633:AE327633 AA393169:AE393169 AA458705:AE458705 AA524241:AE524241 AA589777:AE589777 AA655313:AE655313 AA720849:AE720849 AA786385:AE786385 AA851921:AE851921 AA917457:AE917457" xr:uid="{00000000-0002-0000-0700-000029000000}">
      <formula1>0</formula1>
      <formula2>99999999999</formula2>
    </dataValidation>
    <dataValidation type="whole" imeMode="halfAlpha" allowBlank="1" showInputMessage="1" showErrorMessage="1" promptTitle="年商" prompt="設立初年度などは『0』とご入力下さい。" sqref="AN982993:AR982993 AN65489:AR65489 AN131025:AR131025 AN196561:AR196561 AN262097:AR262097 AN327633:AR327633 AN393169:AR393169 AN458705:AR458705 AN524241:AR524241 AN589777:AR589777 AN655313:AR655313 AN720849:AR720849 AN786385:AR786385 AN851921:AR851921 AN917457:AR917457" xr:uid="{00000000-0002-0000-0700-00002A000000}">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76:AJ65477 AH131012:AJ131013 AH196548:AJ196549 AH262084:AJ262085 AH327620:AJ327621 AH393156:AJ393157 AH458692:AJ458693 AH524228:AJ524229 AH589764:AJ589765 AH655300:AJ655301 AH720836:AJ720837 AH786372:AJ786373 AH851908:AJ851909 AH917444:AJ917445 AH982980:AJ982981" xr:uid="{00000000-0002-0000-0700-00002B000000}">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76:AN65477 AM131012:AN131013 AM196548:AN196549 AM262084:AN262085 AM327620:AN327621 AM393156:AN393157 AM458692:AN458693 AM524228:AN524229 AM589764:AN589765 AM655300:AN655301 AM720836:AN720837 AM786372:AN786373 AM851908:AN851909 AM917444:AN917445 AM982980:AN982981" xr:uid="{00000000-0002-0000-0700-00002C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76:AR65477 AQ131012:AR131013 AQ196548:AR196549 AQ262084:AR262085 AQ327620:AR327621 AQ393156:AR393157 AQ458692:AR458693 AQ524228:AR524229 AQ589764:AR589765 AQ655300:AR655301 AQ720836:AR720837 AQ786372:AR786373 AQ851908:AR851909 AQ917444:AR917445 AQ982980:AR982981" xr:uid="{00000000-0002-0000-0700-00002D000000}">
      <formula1>1</formula1>
      <formula2>31</formula2>
    </dataValidation>
    <dataValidation imeMode="halfAlpha" allowBlank="1" showInputMessage="1" showErrorMessage="1" promptTitle="FAX番号" prompt="FAXが無い場合は『00-0000-0000』とご入力下さい。" sqref="AE917601:AT917601 AE65488:AT65488 AE131024:AT131024 AE196560:AT196560 AE262096:AT262096 AE327632:AT327632 AE393168:AT393168 AE458704:AT458704 AE524240:AT524240 AE589776:AT589776 AE655312:AT655312 AE720848:AT720848 AE786384:AT786384 AE851920:AT851920 AE917456:AT917456 AE982992:AT982992 AE983137:AT983137 AE65633:AT65633 AE131169:AT131169 AE196705:AT196705 AE262241:AT262241 AE327777:AT327777 AE393313:AT393313 AE458849:AT458849 AE524385:AT524385 AE589921:AT589921 AE655457:AT655457 AE720993:AT720993 AE786529:AT786529 AE852065:AT852065" xr:uid="{00000000-0002-0000-0700-00002E000000}"/>
    <dataValidation imeMode="halfAlpha" allowBlank="1" showInputMessage="1" showErrorMessage="1" promptTitle="メールアドレス" prompt="グループアドレスのご指定を推奨しております。" sqref="AE983130:AT983130 AE65626:AT65626 AE131162:AT131162 AE196698:AT196698 AE262234:AT262234 AE327770:AT327770 AE393306:AT393306 AE458842:AT458842 AE524378:AT524378 AE589914:AT589914 AE655450:AT655450 AE720986:AT720986 AE786522:AT786522 AE852058:AT852058 AE917594:AT917594" xr:uid="{00000000-0002-0000-0700-00002F000000}"/>
    <dataValidation allowBlank="1" showInputMessage="1" showErrorMessage="1" promptTitle="E-mailアドレス" prompt="設定できるE-mailアドレスは1つです。_x000a_メーリングリストのご指定を推奨しております。" sqref="Z120:AD120 Z65626:AD65626 Z131162:AD131162 Z196698:AD196698 Z262234:AD262234 Z327770:AD327770 Z393306:AD393306 Z458842:AD458842 Z524378:AD524378 Z589914:AD589914 Z655450:AD655450 Z720986:AD720986 Z786522:AD786522 Z852058:AD852058 Z917594:AD917594 Z983130:AD983130" xr:uid="{00000000-0002-0000-0700-000030000000}"/>
    <dataValidation imeMode="hiragana" allowBlank="1" showInputMessage="1" showErrorMessage="1" sqref="I65490:AT65490 I131026:AT131026 I196562:AT196562 I262098:AT262098 I327634:AT327634 I393170:AT393170 I458706:AT458706 I524242:AT524242 I589778:AT589778 I655314:AT655314 I720850:AT720850 I786386:AT786386 I851922:AT851922 I917458:AT917458 I982994:AT982994 I65482:AT65483 I131018:AT131019 I196554:AT196555 I262090:AT262091 I327626:AT327627 I393162:AT393163 I458698:AT458699 I524234:AT524235 I589770:AT589771 I655306:AT655307 I720842:AT720843 I786378:AT786379 I851914:AT851915 I917450:AT917451 I982986:AT982987 AB917638 W65492:AA65494 W131028:AA131030 W196564:AA196566 W262100:AA262102 W327636:AA327638 W393172:AA393174 W458708:AA458710 W524244:AA524246 W589780:AA589782 W655316:AA655318 W720852:AA720854 W786388:AA786390 W851924:AA851926 W917460:AA917462 W982996:AA982998 AB983174 I65493:Q65494 I131029:Q131030 I196565:Q196566 I262101:Q262102 I327637:Q327638 I393173:Q393174 I458709:Q458710 I524245:Q524246 I589781:Q589782 I655317:Q655318 I720853:Q720854 I786389:Q786390 I851925:Q851926 I917461:Q917462 I982997:Q982998 I130:AT132 I65634:AT65635 I131170:AT131171 I196706:AT196707 I262242:AT262243 I327778:AT327779 I393314:AT393315 I458850:AT458851 I524386:AT524387 I589922:AT589923 I655458:AT655459 I720994:AT720995 I786530:AT786531 I852066:AT852067 I917602:AT917603 I983138:AT983139 AD97:AE100 AE65624:AT65624 AE131160:AT131160 AE196696:AT196696 AE262232:AT262232 AE327768:AT327768 AE393304:AT393304 AE458840:AT458840 AE524376:AT524376 AE589912:AT589912 AE655448:AT655448 AE720984:AT720984 AE786520:AT786520 AE852056:AT852056 AE917592:AT917592 AE983128:AT983128 AE121:AT121 AE65627:AT65627 AE131163:AT131163 AE196699:AT196699 AE262235:AT262235 AE327771:AT327771 AE393307:AT393307 AE458843:AT458843 AE524379:AT524379 AE589915:AT589915 AE655451:AT655451 AE720987:AT720987 AE786523:AT786523 AE852059:AT852059 AE917595:AT917595 AE983131:AT983131 AB852102 AE65630:AT65630 AE131166:AT131166 AE196702:AT196702 AE262238:AT262238 AE327774:AT327774 AE393310:AT393310 AE458846:AT458846 AE524382:AT524382 AE589918:AT589918 AE655454:AT655454 AE720990:AT720990 AE786526:AT786526 AE852062:AT852062 AE917598:AT917598 AE983134:AT983134 I104:R105 I65639:R65640 I131175:R131176 I196711:R196712 I262247:R262248 I327783:R327784 I393319:R393320 I458855:R458856 I524391:R524392 I589927:R589928 I655463:R655464 I720999:R721000 I786535:R786536 I852071:R852072 I917607:R917608 I983143:R983144 AG104:AN105 AG65639:AN65640 AG131175:AN131176 AG196711:AN196712 AG262247:AN262248 AG327783:AN327784 AG393319:AN393320 AG458855:AN458856 AG524391:AN524392 AG589927:AN589928 AG655463:AN655464 AG720999:AN721000 AG786535:AN786536 AG852071:AN852072 AG917607:AN917608 AG983143:AN983144 I112:AT113 I65645:AT65646 I131181:AT131182 I196717:AT196718 I262253:AT262254 I327789:AT327790 I393325:AT393326 I458861:AT458862 I524397:AT524398 I589933:AT589934 I655469:AT655470 I721005:AT721006 I786541:AT786542 I852077:AT852078 I917613:AT917614 I983149:AT983150 S65660:AT65660 S131196:AT131196 S196732:AT196732 S262268:AT262268 S327804:AT327804 S393340:AT393340 S458876:AT458876 S524412:AT524412 S589948:AT589948 S655484:AT655484 S721020:AT721020 S786556:AT786556 S852092:AT852092 S917628:AT917628 S983164:AT983164 U65661:AS65661 U131197:AS131197 U196733:AS196733 U262269:AS262269 U327805:AS327805 U393341:AS393341 U458877:AS458877 U524413:AS524413 U589949:AS589949 U655485:AS655485 U721021:AS721021 U786557:AS786557 U852093:AS852093 U917629:AS917629 U983165:AS983165 N65662:AA65662 N131198:AA131198 N196734:AA196734 N262270:AA262270 N327806:AA327806 N393342:AA393342 N458878:AA458878 N524414:AA524414 N589950:AA589950 N655486:AA655486 N721022:AA721022 N786558:AA786558 N852094:AA852094 N917630:AA917630 N983166:AA983166 AG65662:AT65662 AG131198:AT131198 AG196734:AT196734 AG262270:AT262270 AG327806:AT327806 AG393342:AT393342 AG458878:AT458878 AG524414:AT524414 AG589950:AT589950 AG655486:AT655486 AG721022:AT721022 AG786558:AT786558 AG852094:AT852094 AG917630:AT917630 AG983166:AT983166 X65663:AS65663 X131199:AS131199 X196735:AS196735 X262271:AS262271 X327807:AS327807 X393343:AS393343 X458879:AS458879 X524415:AS524415 X589951:AS589951 X655487:AS655487 X721023:AS721023 X786559:AS786559 X852095:AS852095 X917631:AS917631 X983167:AS983167 N65664:AA65665 N131200:AA131201 N196736:AA196737 N262272:AA262273 N327808:AA327809 N393344:AA393345 N458880:AA458881 N524416:AA524417 N589952:AA589953 N655488:AA655489 N721024:AA721025 N786560:AA786561 N852096:AA852097 N917632:AA917633 N983168:AA983169 AG65664:AT65665 AG131200:AT131201 AG196736:AT196737 AG262272:AT262273 AG327808:AT327809 AG393344:AT393345 AG458880:AT458881 AG524416:AT524417 AG589952:AT589953 AG655488:AT655489 AG721024:AT721025 AG786560:AT786561 AG852096:AT852097 AG917632:AT917633 AG983168:AT983169 U65657:AS65658 U131193:AS131194 U196729:AS196730 U262265:AS262266 U327801:AS327802 U393337:AS393338 U458873:AS458874 U524409:AS524410 U589945:AS589946 U655481:AS655482 U721017:AS721018 U786553:AS786554 U852089:AS852090 U917625:AS917626 U983161:AS983162 I65656:Y65656 I131192:Y131192 I196728:Y196728 I262264:Y262264 I327800:Y327800 I393336:Y393336 I458872:Y458872 I524408:Y524408 I589944:Y589944 I655480:Y655480 I721016:Y721016 I786552:Y786552 I852088:Y852088 I917624:Y917624 I983160:Y983160 AE65656:AT65656 AE131192:AT131192 AE196728:AT196728 AE262264:AT262264 AE327800:AT327800 AE393336:AT393336 AE458872:AT458872 AE524408:AT524408 AE589944:AT589944 AE655480:AT655480 AE721016:AT721016 AE786552:AT786552 AE852088:AT852088 AE917624:AT917624 AE983160:AT983160 X65655:AT65655 X131191:AT131191 X196727:AT196727 X262263:AT262263 X327799:AT327799 X393335:AT393335 X458871:AT458871 X524407:AT524407 X589943:AT589943 X655479:AT655479 X721015:AT721015 X786551:AT786551 X852087:AT852087 X917623:AT917623 X983159:AT983159 Z65654:AT65654 Z131190:AT131190 Z196726:AT196726 Z262262:AT262262 Z327798:AT327798 Z393334:AT393334 Z458870:AT458870 Z524406:AT524406 Z589942:AT589942 Z655478:AT655478 Z721014:AT721014 Z786550:AT786550 Z852086:AT852086 Z917622:AT917622 Z983158:AT983158 W65659 W131195 W196731 W262267 W327803 W393339 W458875 W524411 W589947 W655483 W721019 W786555 W852091 W917627 W983163 W65666:W65669 W131202:W131205 W196738:W196741 W262274:W262277 W327810:W327813 W393346:W393349 W458882:W458885 W524418:W524421 W589954:W589957 W655490:W655493 W721026:W721029 W786562:W786565 W852098:W852101 W917634:W917637 W983170:W983173 AB65670 AB131206 AB196742 AB262278 AB327814 AB393350 AB458886 AB524422 AB589958 AB655494 AB721030 AB786566 AG85:AH86 AK85:AL86 AO85:AP86 AS85:AT86 AH97:AI100 AL97:AM100 I28:AT30 X48:AC50 AP99:AQ100" xr:uid="{00000000-0002-0000-0700-000031000000}"/>
    <dataValidation imeMode="halfAlpha" allowBlank="1" showInputMessage="1" showErrorMessage="1" sqref="AF65653:AT65653 AF131189:AT131189 AF196725:AT196725 AF262261:AT262261 AF327797:AT327797 AF393333:AT393333 AF458869:AT458869 AF524405:AT524405 AF589941:AT589941 AF655477:AT655477 AF721013:AT721013 AF786549:AT786549 AF852085:AT852085 AF917621:AT917621 AF983157:AT983157 V524395:AI524396 I65488:X65488 I131024:X131024 I196560:X196560 I262096:X262096 I327632:X327632 I393168:X393168 I458704:X458704 I524240:X524240 I589776:X589776 I655312:X655312 I720848:X720848 I786384:X786384 I851920:X851920 I917456:X917456 I982992:X982992 V983147:AI983148 AQ65493:AR65494 AQ131029:AR131030 AQ196565:AR196566 AQ262101:AR262102 AQ327637:AR327638 AQ393173:AR393174 AQ458709:AR458710 AQ524245:AR524246 AQ589781:AR589782 AQ655317:AR655318 AQ720853:AR720854 AQ786389:AR786390 AQ851925:AR851926 AQ917461:AR917462 AQ982997:AR982998 V262251:AI262252 I65491:AT65491 I131027:AT131027 I196563:AT196563 I262099:AT262099 I327635:AT327635 I393171:AT393171 I458707:AT458707 I524243:AT524243 I589779:AT589779 I655315:AT655315 I720851:AT720851 I786387:AT786387 I851923:AT851923 I917459:AT917459 I982995:AT982995 V852075:AI852076 AC65508:AE65508 AC131044:AE131044 AC196580:AE196580 AC262116:AE262116 AC327652:AE327652 AC393188:AE393188 AC458724:AE458724 AC524260:AE524260 AC589796:AE589796 AC655332:AE655332 AC720868:AE720868 AC786404:AE786404 AC851940:AE851940 AC917476:AE917476 AC983012:AE983012 V786539:AI786540 AH65508:AJ65508 AH131044:AJ131044 AH196580:AJ196580 AH262116:AJ262116 AH327652:AJ327652 AH393188:AJ393188 AH458724:AJ458724 AH524260:AJ524260 AH589796:AJ589796 AH655332:AJ655332 AH720868:AJ720868 AH786404:AJ786404 AH851940:AJ851940 AH917476:AJ917476 AH983012:AJ983012 V917611:AI917612 AQ65508:AS65508 AQ131044:AS131044 AQ196580:AS196580 AQ262116:AS262116 AQ327652:AS327652 AQ393188:AS393188 AQ458724:AS458724 AQ524260:AS524260 AQ589796:AS589796 AQ655332:AS655332 AQ720868:AS720868 AQ786404:AS786404 AQ851940:AS851940 AQ917476:AS917476 AQ983012:AS983012 V458859:AI458860 AE65625:AT65625 AE131161:AT131161 AE196697:AT196697 AE262233:AT262233 AE327769:AT327769 AE393305:AT393305 AE458841:AT458841 AE524377:AT524377 AE589913:AT589913 AE655449:AT655449 AE720985:AT720985 AE786521:AT786521 AE852057:AT852057 AE917593:AT917593 AE983129:AT983129 V393323:AI393324 AE65628:AT65629 AE131164:AT131165 AE196700:AT196701 AE262236:AT262237 AE327772:AT327773 AE393308:AT393309 AE458844:AT458845 AE524380:AT524381 AE589916:AT589917 AE655452:AT655453 AE720988:AT720989 AE786524:AT786525 AE852060:AT852061 AE917596:AT917597 AE983132:AT983133 V327787:AI327788 AE65631:AT65632 AE131167:AT131168 AE196703:AT196704 AE262239:AT262240 AE327775:AT327776 AE393311:AT393312 AE458847:AT458848 AE524383:AT524384 AE589919:AT589920 AE655455:AT655456 AE720991:AT720992 AE786527:AT786528 AE852063:AT852064 AE917599:AT917600 AE983135:AT983136 V721003:AI721004 I65641:P65642 I131177:P131178 I196713:P196714 I262249:P262250 I327785:P327786 I393321:P393322 I458857:P458858 I524393:P524394 I589929:P589930 I655465:P655466 I721001:P721002 I786537:P786538 I852073:P852074 I917609:P917610 I983145:P983146 V655467:AI655468 V65641:AA65642 V131177:AA131178 V196713:AA196714 V262249:AA262250 V327785:AA327786 V393321:AA393322 V458857:AA458858 V524393:AA524394 V589929:AA589930 V655465:AA655466 V721001:AA721002 V786537:AA786538 V852073:AA852074 V917609:AA917610 V983145:AA983146 V589931:AI589932 V65643:AI65644 V131179:AI131180 V196715:AI196716" xr:uid="{00000000-0002-0000-0700-000032000000}"/>
    <dataValidation type="list" allowBlank="1" showInputMessage="1" showErrorMessage="1" sqref="I982963 I917427 I851891 I786355 I720819 I655283 I589747 I524211 I458675 I393139 I327603 I262067 I196531 I130995 I65459 L983108:N983116 L65529:N65530 L131065:N131066 L196601:N196602 L262137:N262138 L327673:N327674 L393209:N393210 L458745:N458746 L524281:N524282 L589817:N589818 L655353:N655354 L720889:N720890 L786425:N786426 L851961:N851962 L917497:N917498 L983033:N983034 L65532:N65534 L131068:N131070 L196604:N196606 L262140:N262142 L327676:N327678 L393212:N393214 L458748:N458750 L524284:N524286 L589820:N589822 L655356:N655358 L720892:N720894 L786428:N786430 L851964:N851966 L917500:N917502 L983036:N983038 L65537:N65543 L131073:N131079 L196609:N196615 L262145:N262151 L327681:N327687 L393217:N393223 L458753:N458759 L524289:N524295 L589825:N589831 L655361:N655367 L720897:N720903 L786433:N786439 L851969:N851975 L917505:N917511 L983041:N983047 L65546:N65552 L131082:N131088 L196618:N196624 L262154:N262160 L327690:N327696 L393226:N393232 L458762:N458768 L524298:N524304 L589834:N589840 L655370:N655376 L720906:N720912 L786442:N786448 L851978:N851984 L917514:N917520 L983050:N983056 L65555:N65558 L131091:N131094 L196627:N196630 L262163:N262166 L327699:N327702 L393235:N393238 L458771:N458774 L524307:N524310 L589843:N589846 L655379:N655382 L720915:N720918 L786451:N786454 L851987:N851990 L917523:N917526 L983059:N983062 L65561:N65565 L131097:N131101 L196633:N196637 L262169:N262173 L327705:N327709 L393241:N393245 L458777:N458781 L524313:N524317 L589849:N589853 L655385:N655389 L720921:N720925 L786457:N786461 L851993:N851997 L917529:N917533 L983065:N983069 L65568:N65570 L131104:N131106 L196640:N196642 L262176:N262178 L327712:N327714 L393248:N393250 L458784:N458786 L524320:N524322 L589856:N589858 L655392:N655394 L720928:N720930 L786464:N786466 L852000:N852002 L917536:N917538 L983072:N983074 L65573:N65575 L131109:N131111 L196645:N196647 L262181:N262183 L327717:N327719 L393253:N393255 L458789:N458791 L524325:N524327 L589861:N589863 L655397:N655399 L720933:N720935 L786469:N786471 L852005:N852007 L917541:N917543 L983077:N983079 L65578:N65601 L131114:N131137 L196650:N196673 L262186:N262209 L327722:N327745 L393258:N393281 L458794:N458817 L524330:N524353 L589866:N589889 L655402:N655425 L720938:N720961 L786474:N786497 L852010:N852033 L917546:N917569 L983082:N983105 L65604:N65612 L131140:N131148 L196676:N196684 L262212:N262220 L327748:N327756 L393284:N393292 L458820:N458828 L524356:N524364 L589892:N589900 L655428:N655436 L720964:N720972 L786500:N786508 L852036:N852044 L917572:N917580 C65533:I65533 C131069:I131069 C196605:I196605 C262141:I262141 C327677:I327677 C393213:I393213 C458749:I458749 C524285:I524285 C589821:I589821 C655357:I655357 C720893:I720893 C786429:I786429 C851965:I851965 C917501:I917501 C983037:I983037 L983024:P983027 L65520:P65523 L131056:P131059 L196592:P196595 L262128:P262131 L327664:P327667 L393200:P393203 L458736:P458739 L524272:P524275 L589808:P589811 L655344:P655347 L720880:P720883 L786416:P786419 L851952:P851955 L917488:P917491 C983024:I983024 C65520:I65520 C131056:I131056 C196592:I196592 C262128:I262128 C327664:I327664 C393200:I393200 C458736:I458736 C524272:I524272 C589808:I589808 C655344:I655344 C720880:I720880 C786416:I786416 C851952:I851952 C917488:I917488 C983033:I983034 C65529:I65530 C131065:I131066 C196601:I196602 C262137:I262138 C327673:I327674 C393209:I393210 C458745:I458746 C524281:I524282 C589817:I589818 C655353:I655354 C720889:I720890 C786425:I786426 C851961:I851962 C917497:I917498" xr:uid="{00000000-0002-0000-0700-000033000000}">
      <formula1>#REF!</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E123:AG123" xr:uid="{00000000-0002-0000-0700-000034000000}">
      <formula1>ISERROR(FIND("NG",AW123))</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Q123:AT123" xr:uid="{00000000-0002-0000-0700-000035000000}">
      <formula1>ISERROR(FIND("NG",BI104))</formula1>
    </dataValidation>
    <dataValidation type="custom" imeMode="disabled" allowBlank="1" showInputMessage="1" showErrorMessage="1" errorTitle="桁数チェック" error="半角英数字128文字以内で入力してください。" sqref="I44:W45 X45:AT45" xr:uid="{00000000-0002-0000-0700-000036000000}">
      <formula1>LENB(A6)&lt;129</formula1>
    </dataValidation>
    <dataValidation type="custom" imeMode="disabled" allowBlank="1" showInputMessage="1" showErrorMessage="1" errorTitle="桁数チェック" error="半角英数字128文字以内で入力してください。" sqref="I46:L47" xr:uid="{00000000-0002-0000-0700-000037000000}">
      <formula1>LENB(A5)&lt;129</formula1>
    </dataValidation>
    <dataValidation imeMode="disabled" allowBlank="1" showInputMessage="1" showErrorMessage="1" promptTitle="事業展開店舗数" prompt="事業全体における展開店舗数をご記入ください" sqref="I43:N43" xr:uid="{00000000-0002-0000-0700-000038000000}"/>
    <dataValidation type="list" allowBlank="1" showInputMessage="1" showErrorMessage="1" sqref="R79:S80 L79:M80" xr:uid="{00000000-0002-0000-0700-000039000000}">
      <formula1>■分</formula1>
    </dataValidation>
    <dataValidation type="list" allowBlank="1" showInputMessage="1" showErrorMessage="1" sqref="O79:P80 I79:J80" xr:uid="{00000000-0002-0000-0700-00003A000000}">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9:AE90" xr:uid="{00000000-0002-0000-0700-00003B000000}">
      <formula1>0</formula1>
      <formula2>999999999</formula2>
    </dataValidation>
    <dataValidation type="custom" imeMode="hiragana" allowBlank="1" showErrorMessage="1" errorTitle="入力文字制限" error="スペースは入力できません。" promptTitle="会社所在地" prompt="都道府県名からご記入下さい" sqref="N36:AT37 N53:AT54 N72:AT73" xr:uid="{00000000-0002-0000-0700-00003C000000}">
      <formula1>LEN(SUBSTITUTE(SUBSTITUTE(N36,"　","")," ",""))=LEN(N36)</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H123:AL123" xr:uid="{00000000-0002-0000-0700-00003D000000}">
      <formula1>ISERROR(FIND("NG",AZ113))</formula1>
    </dataValidation>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7:AT78" xr:uid="{00000000-0002-0000-0700-00003E000000}">
      <formula1>LENB(I77)&lt;129</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xr:uid="{00000000-0002-0000-0700-00003F000000}">
      <formula1>LENB(A4)&lt;129</formula1>
    </dataValidation>
    <dataValidation imeMode="hiragana" allowBlank="1" showInputMessage="1" showErrorMessage="1" promptTitle="部署名" prompt="特に無い場合には、ハイフン等を入力せず空欄にしてください。" sqref="AE117:AT117 AE124:AT124" xr:uid="{00000000-0002-0000-0700-000040000000}"/>
    <dataValidation type="list" allowBlank="1" showInputMessage="1" showErrorMessage="1" promptTitle="販売形態" prompt="複数の形態で営業されている場合には、本サービスを利用する売上規模の一番大きい、メインの販売形態についてご入力ください。" sqref="I87:S88" xr:uid="{00000000-0002-0000-0700-000041000000}">
      <formula1>■販売形態</formula1>
    </dataValidation>
    <dataValidation imeMode="hiragana" allowBlank="1" showInputMessage="1" showErrorMessage="1" promptTitle="運用担当" prompt="契約手続き完了のご依頼、決済機関からの問い合わせのご連絡、メンテナンスのご案内などをお送りする先となります。" sqref="I118:Y120" xr:uid="{00000000-0002-0000-0700-000042000000}"/>
    <dataValidation imeMode="hiragana" allowBlank="1" showInputMessage="1" showErrorMessage="1" promptTitle="売上報告担当" prompt="収納明細書や請求書をお送りする先となります。" sqref="I125:Y127" xr:uid="{00000000-0002-0000-0700-000043000000}"/>
    <dataValidation type="whole" imeMode="halfAlpha" operator="greaterThanOrEqual" allowBlank="1" showInputMessage="1" showErrorMessage="1" errorTitle="商品価格帯" error="半角数字でご入力ください" sqref="Z89:AD90 AG89:AJ90" xr:uid="{00000000-0002-0000-0700-000044000000}">
      <formula1>1</formula1>
    </dataValidation>
    <dataValidation type="whole" imeMode="halfAlpha" operator="greaterThanOrEqual" allowBlank="1" showInputMessage="1" showErrorMessage="1" errorTitle="平均購入額" error="半角数字でご入力ください" sqref="AP89:AS90" xr:uid="{00000000-0002-0000-0700-000045000000}">
      <formula1>1</formula1>
    </dataValidation>
    <dataValidation type="whole" imeMode="halfAlpha" operator="greaterThanOrEqual" allowBlank="1" showInputMessage="1" showErrorMessage="1" errorTitle="月間カード取扱金額（目安）" error="半角数字でご入力ください" sqref="I89:R90" xr:uid="{00000000-0002-0000-0700-000046000000}">
      <formula1>1</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M123" xr:uid="{00000000-0002-0000-0700-000047000000}">
      <formula1>ISERROR(FIND("NG",BE110))</formula1>
    </dataValidation>
    <dataValidation type="custom" allowBlank="1" showInputMessage="1" showErrorMessage="1" errorTitle="メールアドレス" error="@が入ったメールアドレスを記載ください。" promptTitle="E-mailアドレス" prompt="グループアドレスのご指定を推奨しております。" sqref="AN123:AP123" xr:uid="{00000000-0002-0000-0700-000048000000}">
      <formula1>ISERROR(FIND("NG",BF111))</formula1>
    </dataValidation>
    <dataValidation type="textLength" imeMode="halfAlpha"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xr:uid="{00000000-0002-0000-0700-000049000000}">
      <formula1>13</formula1>
    </dataValidation>
    <dataValidation type="custom" imeMode="disabled" allowBlank="1" showInputMessage="1" showErrorMessage="1" errorTitle="桁数チェック" error="半角英数字128文字以内で入力してください。" sqref="X44" xr:uid="{00000000-0002-0000-0700-00004A000000}">
      <formula1>LENB(AL6)&lt;129</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2:V92" xr:uid="{00000000-0002-0000-0700-00004B000000}"/>
    <dataValidation operator="greaterThanOrEqual" allowBlank="1" showInputMessage="1" showErrorMessage="1" sqref="AO95 AS95 AO93 AS93 AM93:AN96 AQ93:AQ96 AR99:AR100 AR93:AR96" xr:uid="{00000000-0002-0000-0700-00004C000000}"/>
    <dataValidation type="custom" imeMode="hiragana" allowBlank="1" showInputMessage="1" showErrorMessage="1" errorTitle="文字数制限がございます" error="200文字以内でご記入下さい。" promptTitle="業種" prompt="決済の対象となるサービスを出来るだけ具体的にご記入下さい。" sqref="I81:AT82" xr:uid="{00000000-0002-0000-0700-00004D000000}">
      <formula1>LENB(I81)&lt;=200</formula1>
    </dataValidation>
    <dataValidation imeMode="hiragana" allowBlank="1" showInputMessage="1" showErrorMessage="1" promptTitle="業種" prompt="決済の対象となる取扱い商品を出来るだけ具体的にご記入下さい。" sqref="I85" xr:uid="{00000000-0002-0000-0700-00004E000000}"/>
    <dataValidation imeMode="disabled" allowBlank="1" showInputMessage="1" showErrorMessage="1" sqref="X43:AB43 AN97 AN97" xr:uid="{00000000-0002-0000-0700-00004F000000}"/>
    <dataValidation type="list" allowBlank="1" showInputMessage="1" showErrorMessage="1" sqref="L99:U100" xr:uid="{00000000-0002-0000-0700-000050000000}">
      <formula1>PCIDSS準拠状況</formula1>
    </dataValidation>
    <dataValidation type="list" allowBlank="1" showInputMessage="1" showErrorMessage="1" sqref="L97:U98" xr:uid="{00000000-0002-0000-0700-000051000000}">
      <formula1>カード情報保持状況</formula1>
    </dataValidation>
    <dataValidation type="list" allowBlank="1" showInputMessage="1" showErrorMessage="1" sqref="AL88:AT88" xr:uid="{00000000-0002-0000-0700-000052000000}">
      <formula1>$AZ$2:$AZ$18</formula1>
    </dataValidation>
    <dataValidation allowBlank="1" showInputMessage="1" showErrorMessage="1" promptTitle="FAX番号" prompt="FAXが無い場合は、ハイフン等を入力せず空欄にしてください。" sqref="AJ38 AO38 AJ55 AO55 AJ119 AO119 AJ126 AO126" xr:uid="{00000000-0002-0000-0700-000053000000}"/>
    <dataValidation type="custom" imeMode="disabled" allowBlank="1" showInputMessage="1" showErrorMessage="1" errorTitle="電話番号" error="市外局番：5桁以内_x000a_市内局番：4桁以内_x000a_加入者番号：4桁以内_x000a_合計：12桁以内でご入力ください。" sqref="T38:X38 T55:X55 T76:X76" xr:uid="{00000000-0002-0000-0700-000054000000}">
      <formula1>AND(ISNUMBER(VALUE(T38)),LENB(T38)&lt;5,ISERROR(FIND("NG",AV38)))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55:AT55 AP38:AT38" xr:uid="{00000000-0002-0000-0700-000055000000}">
      <formula1>AND(ISNUMBER(VALUE(AP38)),LENB(AP38)&lt;5,ISERROR(FIND("NG",AW38)))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I38:M38 I55:M55 I76:M76" xr:uid="{00000000-0002-0000-0700-000056000000}">
      <formula1>AND(ISNUMBER(VALUE(I38)),LENB(I38)&lt;6,ISERROR(FIND("NG",AV38)))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O38:R38 O55:R55 O76:R76" xr:uid="{00000000-0002-0000-0700-000057000000}">
      <formula1>AND(ISNUMBER(VALUE(O38)),LENB(O38)&lt;5,ISERROR(FIND("NG",AV38)))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38:AI38 AE55:AI55" xr:uid="{00000000-0002-0000-0700-000058000000}">
      <formula1>AND(ISNUMBER(VALUE(AE38)),LENB(AE38)&lt;6,ISERROR(FIND("NG",AW38)))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38:AN38 AK55:AN55" xr:uid="{00000000-0002-0000-0700-000059000000}">
      <formula1>AND(ISNUMBER(VALUE(AK38)),LENB(AK38)&lt;5,ISERROR(FIND("NG",AW38)))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E118:AI118 AE125:AI125 AE122:AI122" xr:uid="{00000000-0002-0000-0700-00005A000000}">
      <formula1>AND(ISNUMBER(VALUE(AE118)),LENB(AE118)&lt;6,ISERROR(FIND("NG",AV118)))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K118:AN118 AK125:AN125 AK122:AN122" xr:uid="{00000000-0002-0000-0700-00005B000000}">
      <formula1>AND(ISNUMBER(VALUE(AK118)),LENB(AK118)&lt;5,ISERROR(FIND("NG",AV118)))</formula1>
    </dataValidation>
    <dataValidation type="custom" imeMode="disabled" allowBlank="1" showInputMessage="1" showErrorMessage="1" errorTitle="電話番号" error="市外局番：5桁以内_x000a_市内局番：4桁以内_x000a_加入者番号：4桁以内_x000a_合計：12桁以内でご入力ください。" sqref="AP118:AT118 AP125:AT125 AP122:AT122" xr:uid="{00000000-0002-0000-0700-00005C000000}">
      <formula1>AND(ISNUMBER(VALUE(AP118)),LENB(AP118)&lt;5,ISERROR(FIND("NG",AV118)))</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20:AT120 AE127:AT127" xr:uid="{00000000-0002-0000-0700-00005D000000}">
      <formula1>ISERROR(FIND("NG",AW120))</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E119:AI119 AE126:AI126" xr:uid="{00000000-0002-0000-0700-00005E000000}">
      <formula1>AND(ISNUMBER(VALUE(AE119)),LENB(AE119)&lt;6,ISERROR(FIND("NG",AV119)))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K119:AN119 AK126:AN126" xr:uid="{00000000-0002-0000-0700-00005F000000}">
      <formula1>AND(ISNUMBER(VALUE(AK119)),LENB(AK119)&lt;5,ISERROR(FIND("NG",AV119)))</formula1>
    </dataValidation>
    <dataValidation type="custom" imeMode="disabled" allowBlank="1" showInputMessage="1" showErrorMessage="1" errorTitle="電話番号" error="市外局番：5桁以内_x000a_市内局番：4桁以内_x000a_加入者番号：4桁以内_x000a_合計：12桁以内でご入力ください。" promptTitle="FAX番号" prompt="FAXが無い場合は、ハイフン等を入力せず空欄にしてください。" sqref="AP119:AT119 AP126:AT126" xr:uid="{00000000-0002-0000-0700-000060000000}">
      <formula1>AND(ISNUMBER(VALUE(AP119)),LENB(AP119)&lt;5,ISERROR(FIND("NG",AV119)))</formula1>
    </dataValidation>
    <dataValidation type="custom" imeMode="fullKatakana" allowBlank="1" showInputMessage="1" showErrorMessage="1" errorTitle="カナ入力" error="カナで入力してください。_x000a_スペースは入力できません。" sqref="I48:T48" xr:uid="{00000000-0002-0000-0700-000061000000}">
      <formula1>AND(I48=PHONETIC(I48), LEN(I48)*2=LENB(I48),LEN(SUBSTITUTE(SUBSTITUTE(I48,"　","")," ",""))=LEN(I48))</formula1>
    </dataValidation>
    <dataValidation type="custom" imeMode="hiragana" allowBlank="1" showInputMessage="1" showErrorMessage="1" errorTitle="入力文字制限" error="スペースは入力できません。" sqref="I49:T50" xr:uid="{00000000-0002-0000-0700-000062000000}">
      <formula1>LEN(SUBSTITUTE(SUBSTITUTE(I49,"　","")," ",""))=LEN(I49)</formula1>
    </dataValidation>
    <dataValidation type="list" imeMode="hiragana" allowBlank="1" showErrorMessage="1" promptTitle="会社所在地" prompt="都道府県名からご記入下さい" sqref="I36:M37 I53:M54 I72:M73" xr:uid="{00000000-0002-0000-0700-000063000000}">
      <formula1>■都道府県</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L51" xr:uid="{00000000-0002-0000-0700-000064000000}">
      <formula1>AND(AL51=PHONETIC(AL51), LEN(AL51)*2=LENB(AL51),LEN(SUBSTITUTE(SUBSTITUTE(AL51,"　","")," ",""))=LEN(AL51))</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_x000a_・JKOPAY" sqref="AB64:AT65" xr:uid="{00000000-0002-0000-0700-000065000000}">
      <formula1>20</formula1>
    </dataValidation>
    <dataValidation type="textLength" operator="lessThanOrEqual" allowBlank="1" showInputMessage="1" showErrorMessage="1" errorTitle="文字数制限" error="32文字以内で設定をお願いいたします。" promptTitle="コード決済をお申込の場合は入力ください。" prompt="会社名ではなく、ブランド名をご記載ください。" sqref="I67:AA68" xr:uid="{00000000-0002-0000-0700-000066000000}">
      <formula1>32</formula1>
    </dataValidation>
    <dataValidation imeMode="off"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_x000a_・JKOPAY_x000a_・d払い_x000a_・J-Coin Pay" sqref="AB67:AT68" xr:uid="{00000000-0002-0000-0700-000067000000}"/>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xr:uid="{00000000-0002-0000-0700-000068000000}">
      <formula1>20</formula1>
    </dataValidation>
    <dataValidation allowBlank="1" showInputMessage="1" showErrorMessage="1" promptTitle="下記の決済手段をお申込の場合は入力ください。" prompt="・Alipay_x000a_・WeChat Pay_x000a_・銀聯" sqref="I74:AT75" xr:uid="{00000000-0002-0000-0700-000069000000}"/>
    <dataValidation type="custom" imeMode="fullKatakana" allowBlank="1" showInputMessage="1" showErrorMessage="1" errorTitle="カナ入力" error="カナで入力してください。" promptTitle="コード決済をお申込の場合は入力ください。" prompt="　" sqref="I66:AA66" xr:uid="{00000000-0002-0000-0700-00006A000000}">
      <formula1>AND(I66=PHONETIC(I66), LEN(I66)*2=LENB(I66))</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xr:uid="{00000000-0002-0000-0700-00006B000000}">
      <formula1>45</formula1>
    </dataValidation>
    <dataValidation type="custom" imeMode="disabled" allowBlank="1" showInputMessage="1" showErrorMessage="1" sqref="I56:X57 AE56:AT57" xr:uid="{00000000-0002-0000-0700-00006C000000}">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2:AH92" xr:uid="{00000000-0002-0000-0700-00006D000000}">
      <formula1>AND(COUNT(INDEX(FIND(MID(UPPER(AB92)&amp;REPT("*",25),ROW($1:$25),1),"1234567890,  "),))=LEN(AB92),LEN(AB92)&lt;26)</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xr:uid="{00000000-0002-0000-0700-00006E000000}">
      <formula1>AND(COUNT(INDEX(FIND(MID(UPPER(I64)&amp;REPT("*",20),ROW($1:$20),1),"ABCDEFGHIJKLMNOPQRSTUVWXYZ1234567890.,  "),))=LEN(I64),LEN(I64)&lt;21)</formula1>
    </dataValidation>
    <dataValidation showInputMessage="1" sqref="C3:AT4" xr:uid="{00000000-0002-0000-0700-00006F000000}"/>
    <dataValidation type="custom" imeMode="fullKatakana" allowBlank="1" showErrorMessage="1" errorTitle="フリガナ" error="スペースは入力できません。" promptTitle="フリガナ" prompt="フリガナには数字・記号を入れずカナのみご記入ください。" sqref="AM34:AT34 AM70:AT70 W34:AC34 O34:U34 O51:U51 W51:AC51 W70:AC70 AM51:AT51 O70:U70" xr:uid="{00000000-0002-0000-0700-000074000000}">
      <formula1>AND(LEN(SUBSTITUTE(SUBSTITUTE(O34,"　","")," ",""))=LEN(O34))</formula1>
    </dataValidation>
    <dataValidation imeMode="fullKatakana" allowBlank="1" errorTitle="フリガナ" error="カナで入力してください。_x000a_スペースは入力できません。" promptTitle="フリガナ" prompt="フリガナには数字・記号を入れずカナのみご記入ください。" sqref="AL34 AD34 V34" xr:uid="{00000000-0002-0000-0700-000075000000}"/>
    <dataValidation imeMode="fullKatakana" allowBlank="1" showInputMessage="1" errorTitle="カナ" error="カナで入力して下さい" sqref="N34" xr:uid="{00000000-0002-0000-0700-000076000000}"/>
    <dataValidation allowBlank="1" sqref="N51 V51 AD51" xr:uid="{00000000-0002-0000-0700-000077000000}"/>
    <dataValidation type="custom" allowBlank="1" showErrorMessage="1" errorTitle="フリガナ" error="スペースは入力できません。" promptTitle="フリガナ" prompt="フリガナには数字・記号を入れずカナのみご記入ください。" sqref="AE34:AK34 AE51:AK51 AE70:AK70" xr:uid="{00000000-0002-0000-0700-000078000000}">
      <formula1>AND(LEN(SUBSTITUTE(SUBSTITUTE(AE34,"　","")," ",""))=LEN(AE34))</formula1>
    </dataValidation>
    <dataValidation imeMode="hiragana" allowBlank="1" showInputMessage="1" showErrorMessage="1" promptTitle="下記の決済手段をお申込の場合は入力ください。" prompt="・Alipay_x000a_・WeChat Pay_x000a_・銀聯_x000a_・JKOPAY" sqref="I31:X33" xr:uid="{00000000-0002-0000-0700-000079000000}"/>
    <dataValidation allowBlank="1" showInputMessage="1" showErrorMessage="1" promptTitle="下記の決済手段をお申込の場合は入力ください。" prompt="・Alipay_x000a_・WeChat Pay_x000a_・銀聯_x000a_・JKOPAY" sqref="I83:AT84" xr:uid="{00000000-0002-0000-0700-00007A000000}"/>
    <dataValidation type="whole" operator="greaterThanOrEqual" allowBlank="1" showInputMessage="1" showErrorMessage="1" sqref="AR97:AS98" xr:uid="{00000000-0002-0000-0700-00007B000000}">
      <formula1>0</formula1>
    </dataValidation>
  </dataValidations>
  <printOptions horizontalCentered="1" verticalCentered="1"/>
  <pageMargins left="0" right="0" top="0" bottom="0" header="0" footer="0"/>
  <pageSetup paperSize="9" scale="36" orientation="portrait" r:id="rId1"/>
  <headerFooter alignWithMargins="0"/>
  <ignoredErrors>
    <ignoredError sqref="T79:Y80 Q79:Q80 N79:N80 K79:K8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165100</xdr:colOff>
                    <xdr:row>16</xdr:row>
                    <xdr:rowOff>95250</xdr:rowOff>
                  </from>
                  <to>
                    <xdr:col>10</xdr:col>
                    <xdr:colOff>107950</xdr:colOff>
                    <xdr:row>16</xdr:row>
                    <xdr:rowOff>285750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107</xdr:row>
                    <xdr:rowOff>127000</xdr:rowOff>
                  </from>
                  <to>
                    <xdr:col>9</xdr:col>
                    <xdr:colOff>203200</xdr:colOff>
                    <xdr:row>108</xdr:row>
                    <xdr:rowOff>114300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107</xdr:row>
                    <xdr:rowOff>127000</xdr:rowOff>
                  </from>
                  <to>
                    <xdr:col>13</xdr:col>
                    <xdr:colOff>114300</xdr:colOff>
                    <xdr:row>108</xdr:row>
                    <xdr:rowOff>107950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102</xdr:row>
                    <xdr:rowOff>222250</xdr:rowOff>
                  </from>
                  <to>
                    <xdr:col>27</xdr:col>
                    <xdr:colOff>12700</xdr:colOff>
                    <xdr:row>104</xdr:row>
                    <xdr:rowOff>222250</xdr:rowOff>
                  </to>
                </anchor>
              </controlPr>
            </control>
          </mc:Choice>
        </mc:AlternateContent>
        <mc:AlternateContent xmlns:mc="http://schemas.openxmlformats.org/markup-compatibility/2006">
          <mc:Choice Requires="x14">
            <control shapeId="13320" r:id="rId11" name="Group Box 8">
              <controlPr defaultSize="0" autoFill="0" autoPict="0">
                <anchor moveWithCells="1">
                  <from>
                    <xdr:col>40</xdr:col>
                    <xdr:colOff>0</xdr:colOff>
                    <xdr:row>103</xdr:row>
                    <xdr:rowOff>0</xdr:rowOff>
                  </from>
                  <to>
                    <xdr:col>46</xdr:col>
                    <xdr:colOff>0</xdr:colOff>
                    <xdr:row>104</xdr:row>
                    <xdr:rowOff>222250</xdr:rowOff>
                  </to>
                </anchor>
              </controlPr>
            </control>
          </mc:Choice>
        </mc:AlternateContent>
        <mc:AlternateContent xmlns:mc="http://schemas.openxmlformats.org/markup-compatibility/2006">
          <mc:Choice Requires="x14">
            <control shapeId="13321" r:id="rId12" name="Option Button 9">
              <controlPr defaultSize="0" autoFill="0" autoLine="0" autoPict="0">
                <anchor moveWithCells="1" sizeWithCells="1">
                  <from>
                    <xdr:col>40</xdr:col>
                    <xdr:colOff>76200</xdr:colOff>
                    <xdr:row>103</xdr:row>
                    <xdr:rowOff>19050</xdr:rowOff>
                  </from>
                  <to>
                    <xdr:col>41</xdr:col>
                    <xdr:colOff>152400</xdr:colOff>
                    <xdr:row>104</xdr:row>
                    <xdr:rowOff>0</xdr:rowOff>
                  </to>
                </anchor>
              </controlPr>
            </control>
          </mc:Choice>
        </mc:AlternateContent>
        <mc:AlternateContent xmlns:mc="http://schemas.openxmlformats.org/markup-compatibility/2006">
          <mc:Choice Requires="x14">
            <control shapeId="13322" r:id="rId13" name="Option Button 10">
              <controlPr defaultSize="0" autoFill="0" autoLine="0" autoPict="0">
                <anchor moveWithCells="1" sizeWithCells="1">
                  <from>
                    <xdr:col>43</xdr:col>
                    <xdr:colOff>76200</xdr:colOff>
                    <xdr:row>103</xdr:row>
                    <xdr:rowOff>12700</xdr:rowOff>
                  </from>
                  <to>
                    <xdr:col>44</xdr:col>
                    <xdr:colOff>152400</xdr:colOff>
                    <xdr:row>104</xdr:row>
                    <xdr:rowOff>0</xdr:rowOff>
                  </to>
                </anchor>
              </controlPr>
            </control>
          </mc:Choice>
        </mc:AlternateContent>
        <mc:AlternateContent xmlns:mc="http://schemas.openxmlformats.org/markup-compatibility/2006">
          <mc:Choice Requires="x14">
            <control shapeId="13323" r:id="rId14" name="Option Button 11">
              <controlPr defaultSize="0" autoFill="0" autoLine="0" autoPict="0">
                <anchor moveWithCells="1" sizeWithCells="1">
                  <from>
                    <xdr:col>40</xdr:col>
                    <xdr:colOff>76200</xdr:colOff>
                    <xdr:row>103</xdr:row>
                    <xdr:rowOff>222250</xdr:rowOff>
                  </from>
                  <to>
                    <xdr:col>41</xdr:col>
                    <xdr:colOff>152400</xdr:colOff>
                    <xdr:row>104</xdr:row>
                    <xdr:rowOff>209550</xdr:rowOff>
                  </to>
                </anchor>
              </controlPr>
            </control>
          </mc:Choice>
        </mc:AlternateContent>
        <mc:AlternateContent xmlns:mc="http://schemas.openxmlformats.org/markup-compatibility/2006">
          <mc:Choice Requires="x14">
            <control shapeId="13324" r:id="rId15" name="Option Button 12">
              <controlPr defaultSize="0" autoFill="0" autoLine="0" autoPict="0">
                <anchor moveWithCells="1" sizeWithCells="1">
                  <from>
                    <xdr:col>43</xdr:col>
                    <xdr:colOff>76200</xdr:colOff>
                    <xdr:row>104</xdr:row>
                    <xdr:rowOff>0</xdr:rowOff>
                  </from>
                  <to>
                    <xdr:col>44</xdr:col>
                    <xdr:colOff>152400</xdr:colOff>
                    <xdr:row>104</xdr:row>
                    <xdr:rowOff>222250</xdr:rowOff>
                  </to>
                </anchor>
              </controlPr>
            </control>
          </mc:Choice>
        </mc:AlternateContent>
        <mc:AlternateContent xmlns:mc="http://schemas.openxmlformats.org/markup-compatibility/2006">
          <mc:Choice Requires="x14">
            <control shapeId="13325" r:id="rId16" name="Group Box 13">
              <controlPr defaultSize="0" autoFill="0" autoPict="0">
                <anchor moveWithCells="1">
                  <from>
                    <xdr:col>8</xdr:col>
                    <xdr:colOff>0</xdr:colOff>
                    <xdr:row>107</xdr:row>
                    <xdr:rowOff>0</xdr:rowOff>
                  </from>
                  <to>
                    <xdr:col>16</xdr:col>
                    <xdr:colOff>0</xdr:colOff>
                    <xdr:row>108</xdr:row>
                    <xdr:rowOff>222250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21</xdr:col>
                    <xdr:colOff>165100</xdr:colOff>
                    <xdr:row>90</xdr:row>
                    <xdr:rowOff>12700</xdr:rowOff>
                  </from>
                  <to>
                    <xdr:col>23</xdr:col>
                    <xdr:colOff>12700</xdr:colOff>
                    <xdr:row>90</xdr:row>
                    <xdr:rowOff>209550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12</xdr:col>
                    <xdr:colOff>184150</xdr:colOff>
                    <xdr:row>90</xdr:row>
                    <xdr:rowOff>12700</xdr:rowOff>
                  </from>
                  <to>
                    <xdr:col>14</xdr:col>
                    <xdr:colOff>31750</xdr:colOff>
                    <xdr:row>90</xdr:row>
                    <xdr:rowOff>209550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25</xdr:col>
                    <xdr:colOff>209550</xdr:colOff>
                    <xdr:row>90</xdr:row>
                    <xdr:rowOff>12700</xdr:rowOff>
                  </from>
                  <to>
                    <xdr:col>27</xdr:col>
                    <xdr:colOff>50800</xdr:colOff>
                    <xdr:row>90</xdr:row>
                    <xdr:rowOff>209550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31</xdr:col>
                    <xdr:colOff>0</xdr:colOff>
                    <xdr:row>90</xdr:row>
                    <xdr:rowOff>12700</xdr:rowOff>
                  </from>
                  <to>
                    <xdr:col>32</xdr:col>
                    <xdr:colOff>95250</xdr:colOff>
                    <xdr:row>90</xdr:row>
                    <xdr:rowOff>209550</xdr:rowOff>
                  </to>
                </anchor>
              </controlPr>
            </control>
          </mc:Choice>
        </mc:AlternateContent>
        <mc:AlternateContent xmlns:mc="http://schemas.openxmlformats.org/markup-compatibility/2006">
          <mc:Choice Requires="x14">
            <control shapeId="13330" r:id="rId21" name="Option Button 18">
              <controlPr defaultSize="0" autoFill="0" autoLine="0" autoPict="0">
                <anchor moveWithCells="1">
                  <from>
                    <xdr:col>18</xdr:col>
                    <xdr:colOff>69850</xdr:colOff>
                    <xdr:row>103</xdr:row>
                    <xdr:rowOff>12700</xdr:rowOff>
                  </from>
                  <to>
                    <xdr:col>19</xdr:col>
                    <xdr:colOff>165100</xdr:colOff>
                    <xdr:row>103</xdr:row>
                    <xdr:rowOff>222250</xdr:rowOff>
                  </to>
                </anchor>
              </controlPr>
            </control>
          </mc:Choice>
        </mc:AlternateContent>
        <mc:AlternateContent xmlns:mc="http://schemas.openxmlformats.org/markup-compatibility/2006">
          <mc:Choice Requires="x14">
            <control shapeId="13341" r:id="rId22" name="Option Button 29">
              <controlPr defaultSize="0" autoFill="0" autoLine="0" autoPict="0">
                <anchor moveWithCells="1">
                  <from>
                    <xdr:col>21</xdr:col>
                    <xdr:colOff>69850</xdr:colOff>
                    <xdr:row>103</xdr:row>
                    <xdr:rowOff>31750</xdr:rowOff>
                  </from>
                  <to>
                    <xdr:col>22</xdr:col>
                    <xdr:colOff>165100</xdr:colOff>
                    <xdr:row>104</xdr:row>
                    <xdr:rowOff>12700</xdr:rowOff>
                  </to>
                </anchor>
              </controlPr>
            </control>
          </mc:Choice>
        </mc:AlternateContent>
        <mc:AlternateContent xmlns:mc="http://schemas.openxmlformats.org/markup-compatibility/2006">
          <mc:Choice Requires="x14">
            <control shapeId="13342" r:id="rId23" name="Option Button 30">
              <controlPr defaultSize="0" autoFill="0" autoLine="0" autoPict="0">
                <anchor moveWithCells="1">
                  <from>
                    <xdr:col>24</xdr:col>
                    <xdr:colOff>50800</xdr:colOff>
                    <xdr:row>103</xdr:row>
                    <xdr:rowOff>12700</xdr:rowOff>
                  </from>
                  <to>
                    <xdr:col>25</xdr:col>
                    <xdr:colOff>146050</xdr:colOff>
                    <xdr:row>103</xdr:row>
                    <xdr:rowOff>222250</xdr:rowOff>
                  </to>
                </anchor>
              </controlPr>
            </control>
          </mc:Choice>
        </mc:AlternateContent>
        <mc:AlternateContent xmlns:mc="http://schemas.openxmlformats.org/markup-compatibility/2006">
          <mc:Choice Requires="x14">
            <control shapeId="13343" r:id="rId24" name="Option Button 31">
              <controlPr defaultSize="0" autoFill="0" autoLine="0" autoPict="0">
                <anchor moveWithCells="1">
                  <from>
                    <xdr:col>18</xdr:col>
                    <xdr:colOff>69850</xdr:colOff>
                    <xdr:row>104</xdr:row>
                    <xdr:rowOff>19050</xdr:rowOff>
                  </from>
                  <to>
                    <xdr:col>19</xdr:col>
                    <xdr:colOff>165100</xdr:colOff>
                    <xdr:row>104</xdr:row>
                    <xdr:rowOff>222250</xdr:rowOff>
                  </to>
                </anchor>
              </controlPr>
            </control>
          </mc:Choice>
        </mc:AlternateContent>
        <mc:AlternateContent xmlns:mc="http://schemas.openxmlformats.org/markup-compatibility/2006">
          <mc:Choice Requires="x14">
            <control shapeId="13344" r:id="rId25" name="Option Button 32">
              <controlPr defaultSize="0" autoFill="0" autoLine="0" autoPict="0">
                <anchor moveWithCells="1">
                  <from>
                    <xdr:col>21</xdr:col>
                    <xdr:colOff>69850</xdr:colOff>
                    <xdr:row>104</xdr:row>
                    <xdr:rowOff>19050</xdr:rowOff>
                  </from>
                  <to>
                    <xdr:col>22</xdr:col>
                    <xdr:colOff>165100</xdr:colOff>
                    <xdr:row>104</xdr:row>
                    <xdr:rowOff>209550</xdr:rowOff>
                  </to>
                </anchor>
              </controlPr>
            </control>
          </mc:Choice>
        </mc:AlternateContent>
        <mc:AlternateContent xmlns:mc="http://schemas.openxmlformats.org/markup-compatibility/2006">
          <mc:Choice Requires="x14">
            <control shapeId="13345" r:id="rId26" name="Option Button 33">
              <controlPr defaultSize="0" autoFill="0" autoLine="0" autoPict="0">
                <anchor moveWithCells="1">
                  <from>
                    <xdr:col>24</xdr:col>
                    <xdr:colOff>50800</xdr:colOff>
                    <xdr:row>104</xdr:row>
                    <xdr:rowOff>12700</xdr:rowOff>
                  </from>
                  <to>
                    <xdr:col>25</xdr:col>
                    <xdr:colOff>146050</xdr:colOff>
                    <xdr:row>104</xdr:row>
                    <xdr:rowOff>209550</xdr:rowOff>
                  </to>
                </anchor>
              </controlPr>
            </control>
          </mc:Choice>
        </mc:AlternateContent>
        <mc:AlternateContent xmlns:mc="http://schemas.openxmlformats.org/markup-compatibility/2006">
          <mc:Choice Requires="x14">
            <control shapeId="13358" r:id="rId27" name="Check Box 46">
              <controlPr defaultSize="0" autoFill="0" autoLine="0" autoPict="0">
                <anchor moveWithCells="1">
                  <from>
                    <xdr:col>8</xdr:col>
                    <xdr:colOff>69850</xdr:colOff>
                    <xdr:row>68</xdr:row>
                    <xdr:rowOff>19050</xdr:rowOff>
                  </from>
                  <to>
                    <xdr:col>9</xdr:col>
                    <xdr:colOff>165100</xdr:colOff>
                    <xdr:row>69</xdr:row>
                    <xdr:rowOff>0</xdr:rowOff>
                  </to>
                </anchor>
              </controlPr>
            </control>
          </mc:Choice>
        </mc:AlternateContent>
        <mc:AlternateContent xmlns:mc="http://schemas.openxmlformats.org/markup-compatibility/2006">
          <mc:Choice Requires="x14">
            <control shapeId="13359" r:id="rId28" name="Check Box 47">
              <controlPr defaultSize="0" autoFill="0" autoLine="0" autoPict="0">
                <anchor moveWithCells="1">
                  <from>
                    <xdr:col>25</xdr:col>
                    <xdr:colOff>152400</xdr:colOff>
                    <xdr:row>79</xdr:row>
                    <xdr:rowOff>12700</xdr:rowOff>
                  </from>
                  <to>
                    <xdr:col>27</xdr:col>
                    <xdr:colOff>0</xdr:colOff>
                    <xdr:row>79</xdr:row>
                    <xdr:rowOff>222250</xdr:rowOff>
                  </to>
                </anchor>
              </controlPr>
            </control>
          </mc:Choice>
        </mc:AlternateContent>
        <mc:AlternateContent xmlns:mc="http://schemas.openxmlformats.org/markup-compatibility/2006">
          <mc:Choice Requires="x14">
            <control shapeId="13360" r:id="rId29" name="Check Box 48">
              <controlPr defaultSize="0" autoFill="0" autoLine="0" autoPict="0">
                <anchor moveWithCells="1">
                  <from>
                    <xdr:col>29</xdr:col>
                    <xdr:colOff>165100</xdr:colOff>
                    <xdr:row>79</xdr:row>
                    <xdr:rowOff>12700</xdr:rowOff>
                  </from>
                  <to>
                    <xdr:col>31</xdr:col>
                    <xdr:colOff>0</xdr:colOff>
                    <xdr:row>79</xdr:row>
                    <xdr:rowOff>222250</xdr:rowOff>
                  </to>
                </anchor>
              </controlPr>
            </control>
          </mc:Choice>
        </mc:AlternateContent>
        <mc:AlternateContent xmlns:mc="http://schemas.openxmlformats.org/markup-compatibility/2006">
          <mc:Choice Requires="x14">
            <control shapeId="13361" r:id="rId30" name="Check Box 49">
              <controlPr defaultSize="0" autoFill="0" autoLine="0" autoPict="0">
                <anchor moveWithCells="1">
                  <from>
                    <xdr:col>27</xdr:col>
                    <xdr:colOff>152400</xdr:colOff>
                    <xdr:row>79</xdr:row>
                    <xdr:rowOff>12700</xdr:rowOff>
                  </from>
                  <to>
                    <xdr:col>28</xdr:col>
                    <xdr:colOff>247650</xdr:colOff>
                    <xdr:row>79</xdr:row>
                    <xdr:rowOff>222250</xdr:rowOff>
                  </to>
                </anchor>
              </controlPr>
            </control>
          </mc:Choice>
        </mc:AlternateContent>
        <mc:AlternateContent xmlns:mc="http://schemas.openxmlformats.org/markup-compatibility/2006">
          <mc:Choice Requires="x14">
            <control shapeId="13362" r:id="rId31" name="Check Box 50">
              <controlPr defaultSize="0" autoFill="0" autoLine="0" autoPict="0">
                <anchor moveWithCells="1">
                  <from>
                    <xdr:col>31</xdr:col>
                    <xdr:colOff>165100</xdr:colOff>
                    <xdr:row>79</xdr:row>
                    <xdr:rowOff>12700</xdr:rowOff>
                  </from>
                  <to>
                    <xdr:col>33</xdr:col>
                    <xdr:colOff>0</xdr:colOff>
                    <xdr:row>79</xdr:row>
                    <xdr:rowOff>222250</xdr:rowOff>
                  </to>
                </anchor>
              </controlPr>
            </control>
          </mc:Choice>
        </mc:AlternateContent>
        <mc:AlternateContent xmlns:mc="http://schemas.openxmlformats.org/markup-compatibility/2006">
          <mc:Choice Requires="x14">
            <control shapeId="13363" r:id="rId32" name="Check Box 51">
              <controlPr defaultSize="0" autoFill="0" autoLine="0" autoPict="0">
                <anchor moveWithCells="1">
                  <from>
                    <xdr:col>33</xdr:col>
                    <xdr:colOff>165100</xdr:colOff>
                    <xdr:row>79</xdr:row>
                    <xdr:rowOff>12700</xdr:rowOff>
                  </from>
                  <to>
                    <xdr:col>35</xdr:col>
                    <xdr:colOff>0</xdr:colOff>
                    <xdr:row>79</xdr:row>
                    <xdr:rowOff>222250</xdr:rowOff>
                  </to>
                </anchor>
              </controlPr>
            </control>
          </mc:Choice>
        </mc:AlternateContent>
        <mc:AlternateContent xmlns:mc="http://schemas.openxmlformats.org/markup-compatibility/2006">
          <mc:Choice Requires="x14">
            <control shapeId="13364" r:id="rId33" name="Check Box 52">
              <controlPr defaultSize="0" autoFill="0" autoLine="0" autoPict="0">
                <anchor moveWithCells="1">
                  <from>
                    <xdr:col>35</xdr:col>
                    <xdr:colOff>165100</xdr:colOff>
                    <xdr:row>79</xdr:row>
                    <xdr:rowOff>12700</xdr:rowOff>
                  </from>
                  <to>
                    <xdr:col>37</xdr:col>
                    <xdr:colOff>0</xdr:colOff>
                    <xdr:row>79</xdr:row>
                    <xdr:rowOff>222250</xdr:rowOff>
                  </to>
                </anchor>
              </controlPr>
            </control>
          </mc:Choice>
        </mc:AlternateContent>
        <mc:AlternateContent xmlns:mc="http://schemas.openxmlformats.org/markup-compatibility/2006">
          <mc:Choice Requires="x14">
            <control shapeId="13365" r:id="rId34" name="Check Box 53">
              <controlPr defaultSize="0" autoFill="0" autoLine="0" autoPict="0">
                <anchor moveWithCells="1">
                  <from>
                    <xdr:col>37</xdr:col>
                    <xdr:colOff>165100</xdr:colOff>
                    <xdr:row>79</xdr:row>
                    <xdr:rowOff>12700</xdr:rowOff>
                  </from>
                  <to>
                    <xdr:col>39</xdr:col>
                    <xdr:colOff>0</xdr:colOff>
                    <xdr:row>79</xdr:row>
                    <xdr:rowOff>222250</xdr:rowOff>
                  </to>
                </anchor>
              </controlPr>
            </control>
          </mc:Choice>
        </mc:AlternateContent>
        <mc:AlternateContent xmlns:mc="http://schemas.openxmlformats.org/markup-compatibility/2006">
          <mc:Choice Requires="x14">
            <control shapeId="13366" r:id="rId35" name="Check Box 54">
              <controlPr defaultSize="0" autoFill="0" autoLine="0" autoPict="0">
                <anchor moveWithCells="1">
                  <from>
                    <xdr:col>39</xdr:col>
                    <xdr:colOff>165100</xdr:colOff>
                    <xdr:row>79</xdr:row>
                    <xdr:rowOff>12700</xdr:rowOff>
                  </from>
                  <to>
                    <xdr:col>41</xdr:col>
                    <xdr:colOff>19050</xdr:colOff>
                    <xdr:row>79</xdr:row>
                    <xdr:rowOff>222250</xdr:rowOff>
                  </to>
                </anchor>
              </controlPr>
            </control>
          </mc:Choice>
        </mc:AlternateContent>
        <mc:AlternateContent xmlns:mc="http://schemas.openxmlformats.org/markup-compatibility/2006">
          <mc:Choice Requires="x14">
            <control shapeId="13377" r:id="rId36" name="Group Box 65">
              <controlPr defaultSize="0" autoFill="0" autoPict="0">
                <anchor moveWithCells="1">
                  <from>
                    <xdr:col>8</xdr:col>
                    <xdr:colOff>0</xdr:colOff>
                    <xdr:row>126</xdr:row>
                    <xdr:rowOff>222250</xdr:rowOff>
                  </from>
                  <to>
                    <xdr:col>45</xdr:col>
                    <xdr:colOff>241300</xdr:colOff>
                    <xdr:row>127</xdr:row>
                    <xdr:rowOff>222250</xdr:rowOff>
                  </to>
                </anchor>
              </controlPr>
            </control>
          </mc:Choice>
        </mc:AlternateContent>
        <mc:AlternateContent xmlns:mc="http://schemas.openxmlformats.org/markup-compatibility/2006">
          <mc:Choice Requires="x14">
            <control shapeId="13382" r:id="rId37" name="Check Box 70">
              <controlPr defaultSize="0" autoFill="0" autoLine="0" autoPict="0">
                <anchor moveWithCells="1">
                  <from>
                    <xdr:col>8</xdr:col>
                    <xdr:colOff>209550</xdr:colOff>
                    <xdr:row>90</xdr:row>
                    <xdr:rowOff>0</xdr:rowOff>
                  </from>
                  <to>
                    <xdr:col>10</xdr:col>
                    <xdr:colOff>38100</xdr:colOff>
                    <xdr:row>90</xdr:row>
                    <xdr:rowOff>222250</xdr:rowOff>
                  </to>
                </anchor>
              </controlPr>
            </control>
          </mc:Choice>
        </mc:AlternateContent>
        <mc:AlternateContent xmlns:mc="http://schemas.openxmlformats.org/markup-compatibility/2006">
          <mc:Choice Requires="x14">
            <control shapeId="13384" r:id="rId38" name="Check Box 72">
              <controlPr defaultSize="0" autoFill="0" autoLine="0" autoPict="0">
                <anchor moveWithCells="1">
                  <from>
                    <xdr:col>16</xdr:col>
                    <xdr:colOff>190500</xdr:colOff>
                    <xdr:row>90</xdr:row>
                    <xdr:rowOff>0</xdr:rowOff>
                  </from>
                  <to>
                    <xdr:col>18</xdr:col>
                    <xdr:colOff>19050</xdr:colOff>
                    <xdr:row>90</xdr:row>
                    <xdr:rowOff>209550</xdr:rowOff>
                  </to>
                </anchor>
              </controlPr>
            </control>
          </mc:Choice>
        </mc:AlternateContent>
        <mc:AlternateContent xmlns:mc="http://schemas.openxmlformats.org/markup-compatibility/2006">
          <mc:Choice Requires="x14">
            <control shapeId="13433" r:id="rId39" name="Option Button 121">
              <controlPr defaultSize="0" autoFill="0" autoLine="0" autoPict="0">
                <anchor moveWithCells="1">
                  <from>
                    <xdr:col>9</xdr:col>
                    <xdr:colOff>19050</xdr:colOff>
                    <xdr:row>92</xdr:row>
                    <xdr:rowOff>127000</xdr:rowOff>
                  </from>
                  <to>
                    <xdr:col>11</xdr:col>
                    <xdr:colOff>50800</xdr:colOff>
                    <xdr:row>93</xdr:row>
                    <xdr:rowOff>107950</xdr:rowOff>
                  </to>
                </anchor>
              </controlPr>
            </control>
          </mc:Choice>
        </mc:AlternateContent>
        <mc:AlternateContent xmlns:mc="http://schemas.openxmlformats.org/markup-compatibility/2006">
          <mc:Choice Requires="x14">
            <control shapeId="13434" r:id="rId40" name="Option Button 122">
              <controlPr defaultSize="0" autoFill="0" autoLine="0" autoPict="0">
                <anchor moveWithCells="1">
                  <from>
                    <xdr:col>13</xdr:col>
                    <xdr:colOff>19050</xdr:colOff>
                    <xdr:row>92</xdr:row>
                    <xdr:rowOff>127000</xdr:rowOff>
                  </from>
                  <to>
                    <xdr:col>15</xdr:col>
                    <xdr:colOff>50800</xdr:colOff>
                    <xdr:row>93</xdr:row>
                    <xdr:rowOff>107950</xdr:rowOff>
                  </to>
                </anchor>
              </controlPr>
            </control>
          </mc:Choice>
        </mc:AlternateContent>
        <mc:AlternateContent xmlns:mc="http://schemas.openxmlformats.org/markup-compatibility/2006">
          <mc:Choice Requires="x14">
            <control shapeId="13435" r:id="rId41" name="Group Box 123">
              <controlPr defaultSize="0" autoFill="0" autoPict="0">
                <anchor moveWithCells="1">
                  <from>
                    <xdr:col>8</xdr:col>
                    <xdr:colOff>0</xdr:colOff>
                    <xdr:row>92</xdr:row>
                    <xdr:rowOff>0</xdr:rowOff>
                  </from>
                  <to>
                    <xdr:col>17</xdr:col>
                    <xdr:colOff>0</xdr:colOff>
                    <xdr:row>94</xdr:row>
                    <xdr:rowOff>0</xdr:rowOff>
                  </to>
                </anchor>
              </controlPr>
            </control>
          </mc:Choice>
        </mc:AlternateContent>
        <mc:AlternateContent xmlns:mc="http://schemas.openxmlformats.org/markup-compatibility/2006">
          <mc:Choice Requires="x14">
            <control shapeId="13437" r:id="rId42" name="Option Button 125">
              <controlPr defaultSize="0" autoFill="0" autoLine="0" autoPict="0">
                <anchor moveWithCells="1">
                  <from>
                    <xdr:col>9</xdr:col>
                    <xdr:colOff>31750</xdr:colOff>
                    <xdr:row>94</xdr:row>
                    <xdr:rowOff>114300</xdr:rowOff>
                  </from>
                  <to>
                    <xdr:col>11</xdr:col>
                    <xdr:colOff>50800</xdr:colOff>
                    <xdr:row>95</xdr:row>
                    <xdr:rowOff>95250</xdr:rowOff>
                  </to>
                </anchor>
              </controlPr>
            </control>
          </mc:Choice>
        </mc:AlternateContent>
        <mc:AlternateContent xmlns:mc="http://schemas.openxmlformats.org/markup-compatibility/2006">
          <mc:Choice Requires="x14">
            <control shapeId="13438" r:id="rId43" name="Option Button 126">
              <controlPr defaultSize="0" autoFill="0" autoLine="0" autoPict="0">
                <anchor moveWithCells="1">
                  <from>
                    <xdr:col>13</xdr:col>
                    <xdr:colOff>31750</xdr:colOff>
                    <xdr:row>94</xdr:row>
                    <xdr:rowOff>114300</xdr:rowOff>
                  </from>
                  <to>
                    <xdr:col>15</xdr:col>
                    <xdr:colOff>50800</xdr:colOff>
                    <xdr:row>95</xdr:row>
                    <xdr:rowOff>95250</xdr:rowOff>
                  </to>
                </anchor>
              </controlPr>
            </control>
          </mc:Choice>
        </mc:AlternateContent>
        <mc:AlternateContent xmlns:mc="http://schemas.openxmlformats.org/markup-compatibility/2006">
          <mc:Choice Requires="x14">
            <control shapeId="13439" r:id="rId44" name="Group Box 127">
              <controlPr defaultSize="0" autoFill="0" autoPict="0">
                <anchor moveWithCells="1">
                  <from>
                    <xdr:col>8</xdr:col>
                    <xdr:colOff>0</xdr:colOff>
                    <xdr:row>94</xdr:row>
                    <xdr:rowOff>0</xdr:rowOff>
                  </from>
                  <to>
                    <xdr:col>17</xdr:col>
                    <xdr:colOff>0</xdr:colOff>
                    <xdr:row>96</xdr:row>
                    <xdr:rowOff>0</xdr:rowOff>
                  </to>
                </anchor>
              </controlPr>
            </control>
          </mc:Choice>
        </mc:AlternateContent>
        <mc:AlternateContent xmlns:mc="http://schemas.openxmlformats.org/markup-compatibility/2006">
          <mc:Choice Requires="x14">
            <control shapeId="13440" r:id="rId45" name="Option Button 128">
              <controlPr defaultSize="0" autoFill="0" autoLine="0" autoPict="0">
                <anchor moveWithCells="1">
                  <from>
                    <xdr:col>24</xdr:col>
                    <xdr:colOff>38100</xdr:colOff>
                    <xdr:row>92</xdr:row>
                    <xdr:rowOff>127000</xdr:rowOff>
                  </from>
                  <to>
                    <xdr:col>26</xdr:col>
                    <xdr:colOff>69850</xdr:colOff>
                    <xdr:row>93</xdr:row>
                    <xdr:rowOff>107950</xdr:rowOff>
                  </to>
                </anchor>
              </controlPr>
            </control>
          </mc:Choice>
        </mc:AlternateContent>
        <mc:AlternateContent xmlns:mc="http://schemas.openxmlformats.org/markup-compatibility/2006">
          <mc:Choice Requires="x14">
            <control shapeId="13441" r:id="rId46" name="Option Button 129">
              <controlPr defaultSize="0" autoFill="0" autoLine="0" autoPict="0">
                <anchor moveWithCells="1">
                  <from>
                    <xdr:col>28</xdr:col>
                    <xdr:colOff>38100</xdr:colOff>
                    <xdr:row>92</xdr:row>
                    <xdr:rowOff>127000</xdr:rowOff>
                  </from>
                  <to>
                    <xdr:col>30</xdr:col>
                    <xdr:colOff>69850</xdr:colOff>
                    <xdr:row>93</xdr:row>
                    <xdr:rowOff>107950</xdr:rowOff>
                  </to>
                </anchor>
              </controlPr>
            </control>
          </mc:Choice>
        </mc:AlternateContent>
        <mc:AlternateContent xmlns:mc="http://schemas.openxmlformats.org/markup-compatibility/2006">
          <mc:Choice Requires="x14">
            <control shapeId="13442" r:id="rId47" name="Option Button 130">
              <controlPr defaultSize="0" autoFill="0" autoLine="0" autoPict="0">
                <anchor moveWithCells="1">
                  <from>
                    <xdr:col>24</xdr:col>
                    <xdr:colOff>38100</xdr:colOff>
                    <xdr:row>94</xdr:row>
                    <xdr:rowOff>114300</xdr:rowOff>
                  </from>
                  <to>
                    <xdr:col>26</xdr:col>
                    <xdr:colOff>69850</xdr:colOff>
                    <xdr:row>95</xdr:row>
                    <xdr:rowOff>95250</xdr:rowOff>
                  </to>
                </anchor>
              </controlPr>
            </control>
          </mc:Choice>
        </mc:AlternateContent>
        <mc:AlternateContent xmlns:mc="http://schemas.openxmlformats.org/markup-compatibility/2006">
          <mc:Choice Requires="x14">
            <control shapeId="13443" r:id="rId48" name="Option Button 131">
              <controlPr defaultSize="0" autoFill="0" autoLine="0" autoPict="0">
                <anchor moveWithCells="1">
                  <from>
                    <xdr:col>28</xdr:col>
                    <xdr:colOff>38100</xdr:colOff>
                    <xdr:row>94</xdr:row>
                    <xdr:rowOff>114300</xdr:rowOff>
                  </from>
                  <to>
                    <xdr:col>30</xdr:col>
                    <xdr:colOff>69850</xdr:colOff>
                    <xdr:row>95</xdr:row>
                    <xdr:rowOff>95250</xdr:rowOff>
                  </to>
                </anchor>
              </controlPr>
            </control>
          </mc:Choice>
        </mc:AlternateContent>
        <mc:AlternateContent xmlns:mc="http://schemas.openxmlformats.org/markup-compatibility/2006">
          <mc:Choice Requires="x14">
            <control shapeId="13444" r:id="rId49" name="Option Button 132">
              <controlPr defaultSize="0" autoFill="0" autoLine="0" autoPict="0">
                <anchor moveWithCells="1">
                  <from>
                    <xdr:col>39</xdr:col>
                    <xdr:colOff>38100</xdr:colOff>
                    <xdr:row>92</xdr:row>
                    <xdr:rowOff>127000</xdr:rowOff>
                  </from>
                  <to>
                    <xdr:col>41</xdr:col>
                    <xdr:colOff>69850</xdr:colOff>
                    <xdr:row>93</xdr:row>
                    <xdr:rowOff>107950</xdr:rowOff>
                  </to>
                </anchor>
              </controlPr>
            </control>
          </mc:Choice>
        </mc:AlternateContent>
        <mc:AlternateContent xmlns:mc="http://schemas.openxmlformats.org/markup-compatibility/2006">
          <mc:Choice Requires="x14">
            <control shapeId="13445" r:id="rId50" name="Option Button 133">
              <controlPr defaultSize="0" autoFill="0" autoLine="0" autoPict="0">
                <anchor moveWithCells="1">
                  <from>
                    <xdr:col>43</xdr:col>
                    <xdr:colOff>38100</xdr:colOff>
                    <xdr:row>92</xdr:row>
                    <xdr:rowOff>127000</xdr:rowOff>
                  </from>
                  <to>
                    <xdr:col>45</xdr:col>
                    <xdr:colOff>69850</xdr:colOff>
                    <xdr:row>93</xdr:row>
                    <xdr:rowOff>107950</xdr:rowOff>
                  </to>
                </anchor>
              </controlPr>
            </control>
          </mc:Choice>
        </mc:AlternateContent>
        <mc:AlternateContent xmlns:mc="http://schemas.openxmlformats.org/markup-compatibility/2006">
          <mc:Choice Requires="x14">
            <control shapeId="13446" r:id="rId51" name="Option Button 134">
              <controlPr defaultSize="0" autoFill="0" autoLine="0" autoPict="0">
                <anchor moveWithCells="1">
                  <from>
                    <xdr:col>39</xdr:col>
                    <xdr:colOff>38100</xdr:colOff>
                    <xdr:row>94</xdr:row>
                    <xdr:rowOff>114300</xdr:rowOff>
                  </from>
                  <to>
                    <xdr:col>41</xdr:col>
                    <xdr:colOff>69850</xdr:colOff>
                    <xdr:row>95</xdr:row>
                    <xdr:rowOff>95250</xdr:rowOff>
                  </to>
                </anchor>
              </controlPr>
            </control>
          </mc:Choice>
        </mc:AlternateContent>
        <mc:AlternateContent xmlns:mc="http://schemas.openxmlformats.org/markup-compatibility/2006">
          <mc:Choice Requires="x14">
            <control shapeId="13447" r:id="rId52" name="Option Button 135">
              <controlPr defaultSize="0" autoFill="0" autoLine="0" autoPict="0">
                <anchor moveWithCells="1">
                  <from>
                    <xdr:col>43</xdr:col>
                    <xdr:colOff>38100</xdr:colOff>
                    <xdr:row>94</xdr:row>
                    <xdr:rowOff>114300</xdr:rowOff>
                  </from>
                  <to>
                    <xdr:col>45</xdr:col>
                    <xdr:colOff>69850</xdr:colOff>
                    <xdr:row>95</xdr:row>
                    <xdr:rowOff>95250</xdr:rowOff>
                  </to>
                </anchor>
              </controlPr>
            </control>
          </mc:Choice>
        </mc:AlternateContent>
        <mc:AlternateContent xmlns:mc="http://schemas.openxmlformats.org/markup-compatibility/2006">
          <mc:Choice Requires="x14">
            <control shapeId="13448" r:id="rId53" name="Group Box 136">
              <controlPr defaultSize="0" autoFill="0" autoPict="0">
                <anchor moveWithCells="1">
                  <from>
                    <xdr:col>23</xdr:col>
                    <xdr:colOff>0</xdr:colOff>
                    <xdr:row>92</xdr:row>
                    <xdr:rowOff>0</xdr:rowOff>
                  </from>
                  <to>
                    <xdr:col>32</xdr:col>
                    <xdr:colOff>0</xdr:colOff>
                    <xdr:row>94</xdr:row>
                    <xdr:rowOff>0</xdr:rowOff>
                  </to>
                </anchor>
              </controlPr>
            </control>
          </mc:Choice>
        </mc:AlternateContent>
        <mc:AlternateContent xmlns:mc="http://schemas.openxmlformats.org/markup-compatibility/2006">
          <mc:Choice Requires="x14">
            <control shapeId="13449" r:id="rId54" name="Group Box 137">
              <controlPr defaultSize="0" autoFill="0" autoPict="0">
                <anchor moveWithCells="1">
                  <from>
                    <xdr:col>23</xdr:col>
                    <xdr:colOff>0</xdr:colOff>
                    <xdr:row>94</xdr:row>
                    <xdr:rowOff>0</xdr:rowOff>
                  </from>
                  <to>
                    <xdr:col>32</xdr:col>
                    <xdr:colOff>0</xdr:colOff>
                    <xdr:row>96</xdr:row>
                    <xdr:rowOff>0</xdr:rowOff>
                  </to>
                </anchor>
              </controlPr>
            </control>
          </mc:Choice>
        </mc:AlternateContent>
        <mc:AlternateContent xmlns:mc="http://schemas.openxmlformats.org/markup-compatibility/2006">
          <mc:Choice Requires="x14">
            <control shapeId="13450" r:id="rId55" name="Group Box 138">
              <controlPr defaultSize="0" autoFill="0" autoPict="0">
                <anchor moveWithCells="1">
                  <from>
                    <xdr:col>38</xdr:col>
                    <xdr:colOff>0</xdr:colOff>
                    <xdr:row>92</xdr:row>
                    <xdr:rowOff>0</xdr:rowOff>
                  </from>
                  <to>
                    <xdr:col>46</xdr:col>
                    <xdr:colOff>0</xdr:colOff>
                    <xdr:row>94</xdr:row>
                    <xdr:rowOff>0</xdr:rowOff>
                  </to>
                </anchor>
              </controlPr>
            </control>
          </mc:Choice>
        </mc:AlternateContent>
        <mc:AlternateContent xmlns:mc="http://schemas.openxmlformats.org/markup-compatibility/2006">
          <mc:Choice Requires="x14">
            <control shapeId="13451" r:id="rId56" name="Group Box 139">
              <controlPr defaultSize="0" autoFill="0" autoPict="0">
                <anchor moveWithCells="1">
                  <from>
                    <xdr:col>38</xdr:col>
                    <xdr:colOff>0</xdr:colOff>
                    <xdr:row>94</xdr:row>
                    <xdr:rowOff>0</xdr:rowOff>
                  </from>
                  <to>
                    <xdr:col>46</xdr:col>
                    <xdr:colOff>0</xdr:colOff>
                    <xdr:row>96</xdr:row>
                    <xdr:rowOff>0</xdr:rowOff>
                  </to>
                </anchor>
              </controlPr>
            </control>
          </mc:Choice>
        </mc:AlternateContent>
        <mc:AlternateContent xmlns:mc="http://schemas.openxmlformats.org/markup-compatibility/2006">
          <mc:Choice Requires="x14">
            <control shapeId="13454" r:id="rId57" name="Option Button 142">
              <controlPr defaultSize="0" autoFill="0" autoLine="0" autoPict="0">
                <anchor moveWithCells="1">
                  <from>
                    <xdr:col>41</xdr:col>
                    <xdr:colOff>0</xdr:colOff>
                    <xdr:row>20</xdr:row>
                    <xdr:rowOff>69850</xdr:rowOff>
                  </from>
                  <to>
                    <xdr:col>42</xdr:col>
                    <xdr:colOff>107950</xdr:colOff>
                    <xdr:row>21</xdr:row>
                    <xdr:rowOff>95250</xdr:rowOff>
                  </to>
                </anchor>
              </controlPr>
            </control>
          </mc:Choice>
        </mc:AlternateContent>
        <mc:AlternateContent xmlns:mc="http://schemas.openxmlformats.org/markup-compatibility/2006">
          <mc:Choice Requires="x14">
            <control shapeId="13455" r:id="rId58" name="Option Button 143">
              <controlPr defaultSize="0" autoFill="0" autoLine="0" autoPict="0">
                <anchor moveWithCells="1">
                  <from>
                    <xdr:col>43</xdr:col>
                    <xdr:colOff>127000</xdr:colOff>
                    <xdr:row>20</xdr:row>
                    <xdr:rowOff>69850</xdr:rowOff>
                  </from>
                  <to>
                    <xdr:col>44</xdr:col>
                    <xdr:colOff>222250</xdr:colOff>
                    <xdr:row>21</xdr:row>
                    <xdr:rowOff>95250</xdr:rowOff>
                  </to>
                </anchor>
              </controlPr>
            </control>
          </mc:Choice>
        </mc:AlternateContent>
        <mc:AlternateContent xmlns:mc="http://schemas.openxmlformats.org/markup-compatibility/2006">
          <mc:Choice Requires="x14">
            <control shapeId="13456" r:id="rId59" name="Group Box 144">
              <controlPr defaultSize="0" autoFill="0" autoPict="0">
                <anchor moveWithCells="1">
                  <from>
                    <xdr:col>40</xdr:col>
                    <xdr:colOff>152400</xdr:colOff>
                    <xdr:row>19</xdr:row>
                    <xdr:rowOff>19050</xdr:rowOff>
                  </from>
                  <to>
                    <xdr:col>45</xdr:col>
                    <xdr:colOff>228600</xdr:colOff>
                    <xdr:row>21</xdr:row>
                    <xdr:rowOff>203200</xdr:rowOff>
                  </to>
                </anchor>
              </controlPr>
            </control>
          </mc:Choice>
        </mc:AlternateContent>
        <mc:AlternateContent xmlns:mc="http://schemas.openxmlformats.org/markup-compatibility/2006">
          <mc:Choice Requires="x14">
            <control shapeId="13465" r:id="rId60" name="Option Button 153">
              <controlPr defaultSize="0" autoFill="0" autoLine="0" autoPict="0">
                <anchor moveWithCells="1">
                  <from>
                    <xdr:col>8</xdr:col>
                    <xdr:colOff>228600</xdr:colOff>
                    <xdr:row>127</xdr:row>
                    <xdr:rowOff>12700</xdr:rowOff>
                  </from>
                  <to>
                    <xdr:col>12</xdr:col>
                    <xdr:colOff>31750</xdr:colOff>
                    <xdr:row>127</xdr:row>
                    <xdr:rowOff>203200</xdr:rowOff>
                  </to>
                </anchor>
              </controlPr>
            </control>
          </mc:Choice>
        </mc:AlternateContent>
        <mc:AlternateContent xmlns:mc="http://schemas.openxmlformats.org/markup-compatibility/2006">
          <mc:Choice Requires="x14">
            <control shapeId="13466" r:id="rId61" name="Option Button 154">
              <controlPr defaultSize="0" autoFill="0" autoLine="0" autoPict="0">
                <anchor moveWithCells="1">
                  <from>
                    <xdr:col>20</xdr:col>
                    <xdr:colOff>222250</xdr:colOff>
                    <xdr:row>127</xdr:row>
                    <xdr:rowOff>12700</xdr:rowOff>
                  </from>
                  <to>
                    <xdr:col>24</xdr:col>
                    <xdr:colOff>19050</xdr:colOff>
                    <xdr:row>127</xdr:row>
                    <xdr:rowOff>203200</xdr:rowOff>
                  </to>
                </anchor>
              </controlPr>
            </control>
          </mc:Choice>
        </mc:AlternateContent>
        <mc:AlternateContent xmlns:mc="http://schemas.openxmlformats.org/markup-compatibility/2006">
          <mc:Choice Requires="x14">
            <control shapeId="13467" r:id="rId62" name="Group Box 155">
              <controlPr defaultSize="0" autoFill="0" autoPict="0">
                <anchor moveWithCells="1">
                  <from>
                    <xdr:col>8</xdr:col>
                    <xdr:colOff>12700</xdr:colOff>
                    <xdr:row>126</xdr:row>
                    <xdr:rowOff>203200</xdr:rowOff>
                  </from>
                  <to>
                    <xdr:col>26</xdr:col>
                    <xdr:colOff>241300</xdr:colOff>
                    <xdr:row>131</xdr:row>
                    <xdr:rowOff>19050</xdr:rowOff>
                  </to>
                </anchor>
              </controlPr>
            </control>
          </mc:Choice>
        </mc:AlternateContent>
        <mc:AlternateContent xmlns:mc="http://schemas.openxmlformats.org/markup-compatibility/2006">
          <mc:Choice Requires="x14">
            <control shapeId="13477" r:id="rId63" name="Group Box 165">
              <controlPr defaultSize="0" autoFill="0" autoPict="0">
                <anchor moveWithCells="1">
                  <from>
                    <xdr:col>8</xdr:col>
                    <xdr:colOff>190500</xdr:colOff>
                    <xdr:row>17</xdr:row>
                    <xdr:rowOff>50800</xdr:rowOff>
                  </from>
                  <to>
                    <xdr:col>22</xdr:col>
                    <xdr:colOff>184150</xdr:colOff>
                    <xdr:row>18</xdr:row>
                    <xdr:rowOff>190500</xdr:rowOff>
                  </to>
                </anchor>
              </controlPr>
            </control>
          </mc:Choice>
        </mc:AlternateContent>
        <mc:AlternateContent xmlns:mc="http://schemas.openxmlformats.org/markup-compatibility/2006">
          <mc:Choice Requires="x14">
            <control shapeId="13478" r:id="rId64" name="Option Button 166">
              <controlPr defaultSize="0" autoFill="0" autoLine="0" autoPict="0">
                <anchor moveWithCells="1">
                  <from>
                    <xdr:col>9</xdr:col>
                    <xdr:colOff>184150</xdr:colOff>
                    <xdr:row>17</xdr:row>
                    <xdr:rowOff>127000</xdr:rowOff>
                  </from>
                  <to>
                    <xdr:col>12</xdr:col>
                    <xdr:colOff>241300</xdr:colOff>
                    <xdr:row>18</xdr:row>
                    <xdr:rowOff>107950</xdr:rowOff>
                  </to>
                </anchor>
              </controlPr>
            </control>
          </mc:Choice>
        </mc:AlternateContent>
        <mc:AlternateContent xmlns:mc="http://schemas.openxmlformats.org/markup-compatibility/2006">
          <mc:Choice Requires="x14">
            <control shapeId="13479" r:id="rId65" name="Option Button 167">
              <controlPr defaultSize="0" autoFill="0" autoLine="0" autoPict="0">
                <anchor moveWithCells="1">
                  <from>
                    <xdr:col>16</xdr:col>
                    <xdr:colOff>184150</xdr:colOff>
                    <xdr:row>17</xdr:row>
                    <xdr:rowOff>133350</xdr:rowOff>
                  </from>
                  <to>
                    <xdr:col>19</xdr:col>
                    <xdr:colOff>241300</xdr:colOff>
                    <xdr:row>18</xdr:row>
                    <xdr:rowOff>107950</xdr:rowOff>
                  </to>
                </anchor>
              </controlPr>
            </control>
          </mc:Choice>
        </mc:AlternateContent>
        <mc:AlternateContent xmlns:mc="http://schemas.openxmlformats.org/markup-compatibility/2006">
          <mc:Choice Requires="x14">
            <control shapeId="13480" r:id="rId66" name="Group Box 168">
              <controlPr defaultSize="0" autoFill="0" autoPict="0">
                <anchor moveWithCells="1">
                  <from>
                    <xdr:col>28</xdr:col>
                    <xdr:colOff>57150</xdr:colOff>
                    <xdr:row>17</xdr:row>
                    <xdr:rowOff>38100</xdr:rowOff>
                  </from>
                  <to>
                    <xdr:col>45</xdr:col>
                    <xdr:colOff>19050</xdr:colOff>
                    <xdr:row>18</xdr:row>
                    <xdr:rowOff>190500</xdr:rowOff>
                  </to>
                </anchor>
              </controlPr>
            </control>
          </mc:Choice>
        </mc:AlternateContent>
        <mc:AlternateContent xmlns:mc="http://schemas.openxmlformats.org/markup-compatibility/2006">
          <mc:Choice Requires="x14">
            <control shapeId="13481" r:id="rId67" name="Option Button 169">
              <controlPr defaultSize="0" autoFill="0" autoLine="0" autoPict="0">
                <anchor moveWithCells="1">
                  <from>
                    <xdr:col>28</xdr:col>
                    <xdr:colOff>171450</xdr:colOff>
                    <xdr:row>17</xdr:row>
                    <xdr:rowOff>114300</xdr:rowOff>
                  </from>
                  <to>
                    <xdr:col>31</xdr:col>
                    <xdr:colOff>222250</xdr:colOff>
                    <xdr:row>18</xdr:row>
                    <xdr:rowOff>95250</xdr:rowOff>
                  </to>
                </anchor>
              </controlPr>
            </control>
          </mc:Choice>
        </mc:AlternateContent>
        <mc:AlternateContent xmlns:mc="http://schemas.openxmlformats.org/markup-compatibility/2006">
          <mc:Choice Requires="x14">
            <control shapeId="13482" r:id="rId68" name="Option Button 170">
              <controlPr defaultSize="0" autoFill="0" autoLine="0" autoPict="0">
                <anchor moveWithCells="1">
                  <from>
                    <xdr:col>35</xdr:col>
                    <xdr:colOff>190500</xdr:colOff>
                    <xdr:row>17</xdr:row>
                    <xdr:rowOff>114300</xdr:rowOff>
                  </from>
                  <to>
                    <xdr:col>38</xdr:col>
                    <xdr:colOff>247650</xdr:colOff>
                    <xdr:row>18</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CC00FF"/>
    <pageSetUpPr fitToPage="1"/>
  </sheetPr>
  <dimension ref="A1:DY590"/>
  <sheetViews>
    <sheetView showGridLines="0" tabSelected="1" topLeftCell="A75" zoomScale="85" zoomScaleNormal="85" zoomScaleSheetLayoutView="75" zoomScalePageLayoutView="115" workbookViewId="0">
      <selection activeCell="AK126" sqref="AK126:AT126"/>
    </sheetView>
  </sheetViews>
  <sheetFormatPr defaultColWidth="3.08984375" defaultRowHeight="19.5" customHeight="1"/>
  <cols>
    <col min="1" max="1" width="3.36328125" style="112" customWidth="1"/>
    <col min="2" max="2" width="3.36328125" style="183" customWidth="1"/>
    <col min="3" max="3" width="3.36328125" style="126" customWidth="1"/>
    <col min="4" max="28" width="3.36328125" style="112" customWidth="1"/>
    <col min="29" max="37" width="3.36328125" style="141" customWidth="1"/>
    <col min="38" max="46" width="3.36328125" style="112" customWidth="1"/>
    <col min="47" max="47" width="3.36328125" style="113" customWidth="1"/>
    <col min="48" max="48" width="6.7265625" style="151" hidden="1" customWidth="1"/>
    <col min="49" max="52" width="5.90625" style="20" hidden="1" customWidth="1"/>
    <col min="53" max="63" width="5.90625" style="2" hidden="1" customWidth="1"/>
    <col min="64" max="65" width="6.6328125" style="2" hidden="1" customWidth="1"/>
    <col min="66" max="67" width="5.90625" style="2" hidden="1" customWidth="1"/>
    <col min="68" max="68" width="5.7265625" style="2" hidden="1" customWidth="1"/>
    <col min="69" max="71" width="5.90625" style="2" hidden="1" customWidth="1"/>
    <col min="72" max="74" width="10.6328125" style="2" hidden="1" customWidth="1"/>
    <col min="75" max="75" width="12.6328125" style="2" hidden="1" customWidth="1"/>
    <col min="76" max="76" width="11.6328125" style="2" hidden="1" customWidth="1"/>
    <col min="77" max="77" width="5.90625" style="2" hidden="1" customWidth="1"/>
    <col min="78" max="79" width="7.6328125" style="88" hidden="1" customWidth="1"/>
    <col min="80" max="80" width="5.90625" style="43" hidden="1" customWidth="1"/>
    <col min="81" max="81" width="5.90625" style="2" hidden="1" customWidth="1"/>
    <col min="82" max="82" width="5.90625" style="4" hidden="1" customWidth="1"/>
    <col min="83" max="83" width="27.08984375" style="4" hidden="1" customWidth="1"/>
    <col min="84" max="84" width="5.90625" style="4" hidden="1" customWidth="1"/>
    <col min="85" max="85" width="5.90625" style="22" hidden="1" customWidth="1"/>
    <col min="86" max="86" width="16.6328125" style="2" hidden="1" customWidth="1"/>
    <col min="87" max="87" width="10.6328125" style="2" hidden="1" customWidth="1"/>
    <col min="88" max="88" width="5.08984375" style="2" hidden="1" customWidth="1"/>
    <col min="89" max="89" width="3.6328125" style="2" hidden="1" customWidth="1"/>
    <col min="90" max="90" width="3.6328125" style="42" hidden="1" customWidth="1"/>
    <col min="91" max="92" width="5.90625" style="42" hidden="1" customWidth="1"/>
    <col min="93" max="93" width="16.6328125" style="42" hidden="1" customWidth="1"/>
    <col min="94" max="94" width="16.6328125" style="63" hidden="1" customWidth="1"/>
    <col min="95" max="95" width="5.90625" style="42" hidden="1" customWidth="1"/>
    <col min="96" max="96" width="20.453125" style="42" hidden="1" customWidth="1"/>
    <col min="97" max="97" width="5.08984375" style="2" hidden="1" customWidth="1"/>
    <col min="98" max="98" width="8.6328125" style="2" hidden="1" customWidth="1"/>
    <col min="99" max="99" width="5.90625" style="2" hidden="1" customWidth="1"/>
    <col min="100" max="100" width="5.90625" style="44" hidden="1" customWidth="1"/>
    <col min="101" max="101" width="10.453125" style="64" hidden="1" customWidth="1"/>
    <col min="102" max="102" width="6.6328125" style="64" hidden="1" customWidth="1"/>
    <col min="103" max="103" width="5.90625" style="64" hidden="1" customWidth="1"/>
    <col min="104" max="106" width="5.90625" style="32" hidden="1" customWidth="1"/>
    <col min="107" max="107" width="5.90625" style="31" hidden="1" customWidth="1"/>
    <col min="108" max="108" width="5.90625" style="33" hidden="1" customWidth="1"/>
    <col min="109" max="109" width="5.90625" style="31" hidden="1" customWidth="1"/>
    <col min="110" max="111" width="5.90625" style="32" hidden="1" customWidth="1"/>
    <col min="112" max="112" width="11.6328125" style="32" hidden="1" customWidth="1"/>
    <col min="113" max="113" width="29.08984375" style="32" hidden="1" customWidth="1"/>
    <col min="114" max="114" width="5.90625" style="32" hidden="1" customWidth="1"/>
    <col min="115" max="115" width="10.36328125" style="32" hidden="1" customWidth="1"/>
    <col min="116" max="116" width="8.7265625" style="79" hidden="1" customWidth="1"/>
    <col min="117" max="117" width="5.90625" style="79" hidden="1" customWidth="1"/>
    <col min="118" max="118" width="9.26953125" style="80" hidden="1" customWidth="1"/>
    <col min="119" max="119" width="5.90625" style="2" hidden="1" customWidth="1"/>
    <col min="120" max="120" width="11.26953125" style="2" hidden="1" customWidth="1"/>
    <col min="121" max="121" width="26.08984375" style="10" hidden="1" customWidth="1"/>
    <col min="122" max="122" width="4.6328125" style="10" hidden="1" customWidth="1"/>
    <col min="123" max="123" width="62.6328125" style="10" hidden="1" customWidth="1"/>
    <col min="124" max="124" width="5.6328125" style="10" hidden="1" customWidth="1"/>
    <col min="125" max="125" width="8.7265625" style="10" hidden="1" customWidth="1"/>
    <col min="126" max="126" width="5.90625" style="22" hidden="1" customWidth="1"/>
    <col min="127" max="127" width="3.36328125" style="4" customWidth="1"/>
    <col min="128" max="137" width="3.08984375" style="4" customWidth="1"/>
    <col min="138" max="16384" width="3.08984375" style="4"/>
  </cols>
  <sheetData>
    <row r="1" spans="1:129" ht="19.5" customHeight="1" thickBot="1">
      <c r="B1" s="179"/>
      <c r="C1" s="112"/>
      <c r="AC1" s="112"/>
      <c r="AD1" s="112"/>
      <c r="AE1" s="112"/>
      <c r="AF1" s="112"/>
      <c r="AG1" s="112"/>
      <c r="AH1" s="112"/>
      <c r="AI1" s="112"/>
      <c r="AJ1" s="112"/>
      <c r="AK1" s="112"/>
      <c r="AU1" s="164" t="s">
        <v>5833</v>
      </c>
      <c r="AV1" s="151" t="str">
        <f>T(I3)</f>
        <v/>
      </c>
      <c r="BC1" s="2" t="s">
        <v>2081</v>
      </c>
      <c r="BV1" s="840" t="s">
        <v>3818</v>
      </c>
      <c r="BW1" s="2" t="s">
        <v>3620</v>
      </c>
      <c r="BX1" s="2" t="s">
        <v>2016</v>
      </c>
      <c r="BZ1" s="2" t="s">
        <v>697</v>
      </c>
      <c r="CA1" s="581" t="s">
        <v>645</v>
      </c>
      <c r="CB1" s="582" t="s">
        <v>646</v>
      </c>
      <c r="CC1" s="3"/>
      <c r="CD1" s="98" t="s">
        <v>688</v>
      </c>
      <c r="CE1" s="97" t="s">
        <v>689</v>
      </c>
      <c r="CF1" s="97" t="s">
        <v>690</v>
      </c>
      <c r="CH1" s="59" t="s">
        <v>634</v>
      </c>
      <c r="CI1" s="59"/>
      <c r="CJ1" s="59"/>
      <c r="CK1" s="59"/>
      <c r="CL1" s="59"/>
      <c r="CM1" s="59"/>
      <c r="CN1" s="59"/>
      <c r="CO1" s="10"/>
      <c r="CP1" s="43"/>
      <c r="CQ1" s="2"/>
      <c r="CR1" s="44" t="s">
        <v>6</v>
      </c>
      <c r="CS1" s="44" t="s">
        <v>618</v>
      </c>
      <c r="CT1" s="44" t="s">
        <v>4</v>
      </c>
      <c r="CU1" s="44" t="s">
        <v>5</v>
      </c>
      <c r="CV1" s="10"/>
      <c r="CW1" s="5" t="s">
        <v>2</v>
      </c>
      <c r="CX1" s="5"/>
      <c r="CY1" s="35"/>
      <c r="CZ1" s="6"/>
      <c r="DA1" s="35"/>
      <c r="DB1" s="5" t="s">
        <v>618</v>
      </c>
      <c r="DC1" s="5" t="s">
        <v>623</v>
      </c>
      <c r="DD1" s="5" t="s">
        <v>8</v>
      </c>
      <c r="DF1" s="64"/>
      <c r="DG1" s="64"/>
      <c r="DH1" s="5" t="s">
        <v>3</v>
      </c>
      <c r="DI1" s="64"/>
      <c r="DJ1" s="65"/>
      <c r="DK1" s="65"/>
      <c r="DL1" s="66" t="s">
        <v>9</v>
      </c>
      <c r="DM1" s="66" t="s">
        <v>10</v>
      </c>
      <c r="DN1" s="67" t="s">
        <v>8</v>
      </c>
      <c r="DP1" s="358" t="s">
        <v>1113</v>
      </c>
      <c r="DQ1" s="358"/>
      <c r="DR1" s="358"/>
      <c r="DS1" s="358"/>
      <c r="DT1" s="358" t="s">
        <v>1246</v>
      </c>
      <c r="DU1" s="358" t="s">
        <v>8</v>
      </c>
      <c r="DX1" s="85"/>
      <c r="DY1" s="85"/>
    </row>
    <row r="2" spans="1:129" ht="19.5" customHeight="1" thickTop="1" thickBot="1">
      <c r="B2" s="180"/>
      <c r="C2" s="118" t="s">
        <v>344</v>
      </c>
      <c r="D2" s="118"/>
      <c r="E2" s="118"/>
      <c r="F2" s="118"/>
      <c r="G2" s="118"/>
      <c r="H2" s="118"/>
      <c r="I2" s="165" t="str">
        <f>IF(AND(記入シート1!AV12=2,I3=""),"↓サービスID追加のため、マーチャントIDを確認し正確に記入してください。",IF(AND(記入シート1!AV12=1,I3&lt;&gt;""),"↓新規の場合、マーチャントIDは指定出来ません。",""))</f>
        <v/>
      </c>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9"/>
      <c r="AU2" s="166"/>
      <c r="AV2" s="743"/>
      <c r="AW2" s="499" t="s">
        <v>3635</v>
      </c>
      <c r="BC2" s="2" t="s">
        <v>642</v>
      </c>
      <c r="BV2" s="840" t="s">
        <v>2101</v>
      </c>
      <c r="BW2" s="43" t="s">
        <v>1895</v>
      </c>
      <c r="BX2" s="2" t="s">
        <v>1993</v>
      </c>
      <c r="BZ2" s="583" t="s">
        <v>1302</v>
      </c>
      <c r="CA2" s="584" t="str">
        <f>TEXT(BZ2,"0000000")</f>
        <v>0030302</v>
      </c>
      <c r="CB2" s="585" t="s">
        <v>1368</v>
      </c>
      <c r="CD2" s="108">
        <v>3033</v>
      </c>
      <c r="CE2" s="271" t="s">
        <v>3372</v>
      </c>
      <c r="CF2" s="108">
        <v>3033</v>
      </c>
      <c r="CH2" s="46" t="s">
        <v>323</v>
      </c>
      <c r="CI2" s="47" t="s">
        <v>586</v>
      </c>
      <c r="CJ2" s="47" t="s">
        <v>321</v>
      </c>
      <c r="CK2" s="46" t="s">
        <v>320</v>
      </c>
      <c r="CL2" s="46" t="s">
        <v>587</v>
      </c>
      <c r="CM2" s="46" t="s">
        <v>326</v>
      </c>
      <c r="CN2" s="46" t="s">
        <v>327</v>
      </c>
      <c r="CO2" s="46" t="s">
        <v>376</v>
      </c>
      <c r="CP2" s="46" t="s">
        <v>328</v>
      </c>
      <c r="CQ2" s="2"/>
      <c r="CR2" s="48" t="s">
        <v>11</v>
      </c>
      <c r="CS2" s="48" t="s">
        <v>12</v>
      </c>
      <c r="CT2" s="48" t="s">
        <v>13</v>
      </c>
      <c r="CU2" s="48" t="s">
        <v>619</v>
      </c>
      <c r="CV2" s="10"/>
      <c r="CW2" s="7" t="s">
        <v>323</v>
      </c>
      <c r="CX2" s="7" t="s">
        <v>705</v>
      </c>
      <c r="CY2" s="7" t="s">
        <v>620</v>
      </c>
      <c r="CZ2" s="7" t="s">
        <v>621</v>
      </c>
      <c r="DA2" s="7" t="s">
        <v>622</v>
      </c>
      <c r="DB2" s="7" t="s">
        <v>12</v>
      </c>
      <c r="DC2" s="7" t="s">
        <v>15</v>
      </c>
      <c r="DD2" s="7" t="s">
        <v>631</v>
      </c>
      <c r="DF2" s="64"/>
      <c r="DG2" s="64"/>
      <c r="DH2" s="68" t="s">
        <v>632</v>
      </c>
      <c r="DI2" s="68" t="s">
        <v>633</v>
      </c>
      <c r="DJ2" s="69" t="s">
        <v>326</v>
      </c>
      <c r="DK2" s="69" t="s">
        <v>582</v>
      </c>
      <c r="DL2" s="70" t="s">
        <v>14</v>
      </c>
      <c r="DM2" s="70" t="s">
        <v>17</v>
      </c>
      <c r="DN2" s="68" t="s">
        <v>16</v>
      </c>
      <c r="DP2" s="68" t="s">
        <v>1247</v>
      </c>
      <c r="DQ2" s="68" t="s">
        <v>633</v>
      </c>
      <c r="DR2" s="68" t="s">
        <v>1248</v>
      </c>
      <c r="DS2" s="68" t="s">
        <v>1249</v>
      </c>
      <c r="DT2" s="70" t="s">
        <v>17</v>
      </c>
      <c r="DU2" s="7" t="s">
        <v>631</v>
      </c>
      <c r="DX2" s="85"/>
      <c r="DY2" s="85"/>
    </row>
    <row r="3" spans="1:129" ht="19.5" customHeight="1" thickTop="1">
      <c r="B3" s="181">
        <f>記入シート1!B4+記入シート2!B4</f>
        <v>8</v>
      </c>
      <c r="C3" s="2428" t="s">
        <v>329</v>
      </c>
      <c r="D3" s="2429"/>
      <c r="E3" s="2429"/>
      <c r="F3" s="2429"/>
      <c r="G3" s="2429"/>
      <c r="H3" s="2430"/>
      <c r="I3" s="2431"/>
      <c r="J3" s="2432"/>
      <c r="K3" s="2433"/>
      <c r="L3" s="2434" t="s">
        <v>330</v>
      </c>
      <c r="M3" s="2429"/>
      <c r="N3" s="2429"/>
      <c r="O3" s="2429"/>
      <c r="P3" s="2429"/>
      <c r="Q3" s="2430"/>
      <c r="R3" s="2431"/>
      <c r="S3" s="2433"/>
      <c r="T3" s="2409" t="s">
        <v>782</v>
      </c>
      <c r="U3" s="2410"/>
      <c r="V3" s="2410"/>
      <c r="W3" s="2413" t="s">
        <v>5836</v>
      </c>
      <c r="X3" s="2414"/>
      <c r="Y3" s="2414"/>
      <c r="Z3" s="2409" t="s">
        <v>644</v>
      </c>
      <c r="AA3" s="2410"/>
      <c r="AB3" s="2410"/>
      <c r="AC3" s="2411" t="str">
        <f>_xlfn.IFNA(IF(W3="","",VLOOKUP(W3,CA:CB,2,0)),"")</f>
        <v>堀内直也</v>
      </c>
      <c r="AD3" s="2412"/>
      <c r="AE3" s="2412"/>
      <c r="AF3" s="2409" t="s">
        <v>783</v>
      </c>
      <c r="AG3" s="2410"/>
      <c r="AH3" s="2410"/>
      <c r="AI3" s="2413"/>
      <c r="AJ3" s="2414"/>
      <c r="AK3" s="2414"/>
      <c r="AL3" s="2871" t="s">
        <v>781</v>
      </c>
      <c r="AM3" s="2871"/>
      <c r="AN3" s="2871"/>
      <c r="AO3" s="2871"/>
      <c r="AP3" s="2426"/>
      <c r="AQ3" s="2426"/>
      <c r="AR3" s="2426"/>
      <c r="AS3" s="2426"/>
      <c r="AT3" s="2427"/>
      <c r="AU3" s="167"/>
      <c r="AV3" s="531"/>
      <c r="AW3" s="499" t="s">
        <v>3839</v>
      </c>
      <c r="AY3" s="392" t="s">
        <v>450</v>
      </c>
      <c r="AZ3" s="763" t="s">
        <v>909</v>
      </c>
      <c r="BC3" s="2" t="s">
        <v>2082</v>
      </c>
      <c r="BV3" s="840" t="s">
        <v>2102</v>
      </c>
      <c r="BW3" s="43" t="s">
        <v>1895</v>
      </c>
      <c r="BX3" s="2" t="s">
        <v>1994</v>
      </c>
      <c r="BZ3" s="583" t="s">
        <v>1303</v>
      </c>
      <c r="CA3" s="584" t="str">
        <f t="shared" ref="CA3:CA48" si="0">TEXT(BZ3,"0000000")</f>
        <v>0430106</v>
      </c>
      <c r="CB3" s="585" t="s">
        <v>647</v>
      </c>
      <c r="CD3" s="108">
        <v>6045</v>
      </c>
      <c r="CE3" s="108" t="s">
        <v>3381</v>
      </c>
      <c r="CF3" s="108">
        <v>6045</v>
      </c>
      <c r="CH3" s="49" t="s">
        <v>351</v>
      </c>
      <c r="CI3" s="49" t="s">
        <v>292</v>
      </c>
      <c r="CJ3" s="49">
        <v>5</v>
      </c>
      <c r="CK3" s="49" t="s">
        <v>216</v>
      </c>
      <c r="CL3" s="49" t="s">
        <v>83</v>
      </c>
      <c r="CM3" s="49"/>
      <c r="CN3" s="49" t="s">
        <v>591</v>
      </c>
      <c r="CO3" s="50" t="s">
        <v>311</v>
      </c>
      <c r="CP3" s="51" t="str">
        <f>ASC(I3)</f>
        <v/>
      </c>
      <c r="CQ3" s="2"/>
      <c r="CR3" s="52" t="s">
        <v>879</v>
      </c>
      <c r="CS3" s="52">
        <v>106</v>
      </c>
      <c r="CT3" s="53" t="str">
        <f>$CP$14</f>
        <v>00000000</v>
      </c>
      <c r="CU3" s="54">
        <f>IF(CV3&gt;0,1,0)</f>
        <v>0</v>
      </c>
      <c r="CV3" s="10">
        <f t="shared" ref="CV3:CV44" si="1">SUMIF(AY$11:AY$143,CS3,AZ$11:AZ$143)</f>
        <v>0</v>
      </c>
      <c r="CW3" s="8" t="s">
        <v>715</v>
      </c>
      <c r="CX3" s="8"/>
      <c r="CY3" s="36"/>
      <c r="CZ3" s="37"/>
      <c r="DA3" s="36"/>
      <c r="DB3" s="71" t="str">
        <f>LEFT(DC3,3)</f>
        <v>001</v>
      </c>
      <c r="DC3" s="101" t="s">
        <v>318</v>
      </c>
      <c r="DD3" s="72"/>
      <c r="DF3" s="64"/>
      <c r="DG3" s="64"/>
      <c r="DH3" s="73" t="s">
        <v>891</v>
      </c>
      <c r="DI3" s="74" t="s">
        <v>937</v>
      </c>
      <c r="DJ3" s="38" t="s">
        <v>624</v>
      </c>
      <c r="DK3" s="75" t="str">
        <f>DL3&amp;DM3</f>
        <v>106242Y1</v>
      </c>
      <c r="DL3" s="78" t="s">
        <v>5060</v>
      </c>
      <c r="DM3" s="76" t="s">
        <v>935</v>
      </c>
      <c r="DN3" s="226">
        <f>IF(AV17=TRUE,1,0)</f>
        <v>0</v>
      </c>
      <c r="DP3" s="83" t="s">
        <v>1250</v>
      </c>
      <c r="DQ3" s="83" t="s">
        <v>1114</v>
      </c>
      <c r="DR3" s="83" t="s">
        <v>1112</v>
      </c>
      <c r="DS3" s="83" t="s">
        <v>1251</v>
      </c>
      <c r="DT3" s="50" t="s">
        <v>1115</v>
      </c>
      <c r="DU3" s="227">
        <f>IF(記入シート1!AV97=0,"",記入シート1!AV97)</f>
        <v>2</v>
      </c>
      <c r="DX3" s="85"/>
      <c r="DY3" s="85"/>
    </row>
    <row r="4" spans="1:129" ht="19.5" customHeight="1">
      <c r="B4" s="181">
        <f>SUM(B5:B217)</f>
        <v>2</v>
      </c>
      <c r="C4" s="2436" t="s">
        <v>691</v>
      </c>
      <c r="D4" s="2437"/>
      <c r="E4" s="2437"/>
      <c r="F4" s="2437"/>
      <c r="G4" s="2437"/>
      <c r="H4" s="2438"/>
      <c r="I4" s="2439">
        <v>6312</v>
      </c>
      <c r="J4" s="1325"/>
      <c r="K4" s="2440"/>
      <c r="L4" s="1323" t="str">
        <f>IF(OR(I4="",I4="－",I4="‐",I4="-",I4="ー"),"",IF(ISERROR(VLOOKUP(I4,$CD$1:$CF$100,2,FALSE)),"未登録",VLOOKUP(I4,$CD$1:$CF$100,2,FALSE)))</f>
        <v>6312:日本レジャーホテルサービス株式会社</v>
      </c>
      <c r="M4" s="1324"/>
      <c r="N4" s="1324"/>
      <c r="O4" s="1324"/>
      <c r="P4" s="1324"/>
      <c r="Q4" s="1324"/>
      <c r="R4" s="1324"/>
      <c r="S4" s="1324"/>
      <c r="T4" s="1324"/>
      <c r="U4" s="1324"/>
      <c r="V4" s="1324"/>
      <c r="W4" s="1324"/>
      <c r="X4" s="1324"/>
      <c r="Y4" s="1324"/>
      <c r="Z4" s="1324"/>
      <c r="AA4" s="1324"/>
      <c r="AB4" s="2441"/>
      <c r="AC4" s="2442" t="s">
        <v>336</v>
      </c>
      <c r="AD4" s="2442"/>
      <c r="AE4" s="2442"/>
      <c r="AF4" s="2442"/>
      <c r="AG4" s="2443">
        <f>IF(L4="登録中","",IF(LEN(I4)=4,I4,""))</f>
        <v>6312</v>
      </c>
      <c r="AH4" s="2443"/>
      <c r="AI4" s="2443"/>
      <c r="AJ4" s="2443"/>
      <c r="AK4" s="2443"/>
      <c r="AL4" s="1301"/>
      <c r="AM4" s="1302"/>
      <c r="AN4" s="1302"/>
      <c r="AO4" s="1302"/>
      <c r="AP4" s="2869"/>
      <c r="AQ4" s="2869"/>
      <c r="AR4" s="2869"/>
      <c r="AS4" s="2869"/>
      <c r="AT4" s="2870"/>
      <c r="AU4" s="167"/>
      <c r="AV4" s="531"/>
      <c r="AW4" s="499" t="s">
        <v>3840</v>
      </c>
      <c r="BV4" s="840" t="s">
        <v>3657</v>
      </c>
      <c r="BW4" s="43" t="s">
        <v>3621</v>
      </c>
      <c r="BX4" s="2" t="s">
        <v>1995</v>
      </c>
      <c r="BZ4" s="583" t="s">
        <v>1304</v>
      </c>
      <c r="CA4" s="584" t="str">
        <f t="shared" si="0"/>
        <v>0430268</v>
      </c>
      <c r="CB4" s="585" t="s">
        <v>648</v>
      </c>
      <c r="CD4" s="108">
        <v>6046</v>
      </c>
      <c r="CE4" s="108" t="s">
        <v>3586</v>
      </c>
      <c r="CF4" s="108">
        <v>6046</v>
      </c>
      <c r="CH4" s="49" t="s">
        <v>353</v>
      </c>
      <c r="CI4" s="49" t="s">
        <v>63</v>
      </c>
      <c r="CJ4" s="49">
        <v>3</v>
      </c>
      <c r="CK4" s="49" t="s">
        <v>216</v>
      </c>
      <c r="CL4" s="49" t="s">
        <v>83</v>
      </c>
      <c r="CM4" s="49"/>
      <c r="CN4" s="49" t="s">
        <v>588</v>
      </c>
      <c r="CO4" s="50" t="s">
        <v>309</v>
      </c>
      <c r="CP4" s="51" t="str">
        <f>ASC(R3)</f>
        <v/>
      </c>
      <c r="CQ4" s="2"/>
      <c r="CR4" s="52" t="s">
        <v>1007</v>
      </c>
      <c r="CS4" s="52">
        <v>707</v>
      </c>
      <c r="CT4" s="52" t="str">
        <f>CT3</f>
        <v>00000000</v>
      </c>
      <c r="CU4" s="54">
        <f>IF(CV4&gt;0,1,0)</f>
        <v>0</v>
      </c>
      <c r="CV4" s="10">
        <f t="shared" si="1"/>
        <v>0</v>
      </c>
      <c r="CW4" s="94" t="s">
        <v>317</v>
      </c>
      <c r="CX4" s="94" t="s">
        <v>749</v>
      </c>
      <c r="CY4" s="99" t="s">
        <v>931</v>
      </c>
      <c r="CZ4" s="100" t="s">
        <v>343</v>
      </c>
      <c r="DA4" s="99"/>
      <c r="DB4" s="71" t="str">
        <f t="shared" ref="DB4:DB69" si="2">LEFT(DC4,3)</f>
        <v>001</v>
      </c>
      <c r="DC4" s="101" t="s">
        <v>748</v>
      </c>
      <c r="DD4" s="72">
        <v>2</v>
      </c>
      <c r="DF4" s="64"/>
      <c r="DG4" s="64"/>
      <c r="DH4" s="73" t="s">
        <v>891</v>
      </c>
      <c r="DI4" s="74" t="s">
        <v>938</v>
      </c>
      <c r="DJ4" s="38" t="s">
        <v>624</v>
      </c>
      <c r="DK4" s="75" t="str">
        <f>DL4&amp;DM4</f>
        <v>106242Y2</v>
      </c>
      <c r="DL4" s="78" t="s">
        <v>3644</v>
      </c>
      <c r="DM4" s="76" t="s">
        <v>936</v>
      </c>
      <c r="DN4" s="226">
        <f>IF(AV17=TRUE,1,0)</f>
        <v>0</v>
      </c>
      <c r="DP4" s="83" t="s">
        <v>1250</v>
      </c>
      <c r="DQ4" s="83" t="s">
        <v>1116</v>
      </c>
      <c r="DR4" s="83" t="s">
        <v>1252</v>
      </c>
      <c r="DS4" s="83" t="s">
        <v>1253</v>
      </c>
      <c r="DT4" s="50" t="s">
        <v>1254</v>
      </c>
      <c r="DU4" s="227" t="str">
        <f>IF(記入シート1!AV97=3,RIGHT("0000"&amp;記入シート1!AF97,4)&amp;RIGHT("00"&amp;記入シート1!AJ97,2),"")</f>
        <v/>
      </c>
      <c r="DX4" s="85"/>
      <c r="DY4" s="85"/>
    </row>
    <row r="5" spans="1:129" ht="19.5" customHeight="1" thickBot="1">
      <c r="B5" s="181">
        <f>IF(OR(W3="",AP3="",I4=""),1,0)</f>
        <v>1</v>
      </c>
      <c r="C5" s="2436" t="s">
        <v>584</v>
      </c>
      <c r="D5" s="2437"/>
      <c r="E5" s="2437"/>
      <c r="F5" s="2437"/>
      <c r="G5" s="2437"/>
      <c r="H5" s="2438"/>
      <c r="I5" s="529" t="s">
        <v>585</v>
      </c>
      <c r="J5" s="2416" t="str">
        <f>IF(記入シート1!B13=0,"-","※")</f>
        <v>※</v>
      </c>
      <c r="K5" s="2417"/>
      <c r="L5" s="530">
        <v>1</v>
      </c>
      <c r="M5" s="2416" t="str">
        <f>IF(記入シート1!B27=0,"-","※")</f>
        <v>※</v>
      </c>
      <c r="N5" s="2417"/>
      <c r="O5" s="530">
        <v>2</v>
      </c>
      <c r="P5" s="2416" t="str">
        <f>IF(記入シート1!B48=0,"-","※")</f>
        <v>※</v>
      </c>
      <c r="Q5" s="2417"/>
      <c r="R5" s="530">
        <v>3</v>
      </c>
      <c r="S5" s="2416" t="str">
        <f>IF(記入シート1!B60=0,"-","※")</f>
        <v>※</v>
      </c>
      <c r="T5" s="2417"/>
      <c r="U5" s="530">
        <v>4</v>
      </c>
      <c r="V5" s="2416" t="str">
        <f>IF(記入シート1!B104=0,"-","※")</f>
        <v>※</v>
      </c>
      <c r="W5" s="2417"/>
      <c r="X5" s="530">
        <v>5</v>
      </c>
      <c r="Y5" s="2416" t="str">
        <f>IF(記入シート1!B117=0,"-","※")</f>
        <v>※</v>
      </c>
      <c r="Z5" s="2417"/>
      <c r="AA5" s="530">
        <v>6</v>
      </c>
      <c r="AB5" s="2416" t="str">
        <f ca="1">IF((OR(AV6=0,AV25="NG",AY51="NG",AW63="NG",BC63="NG",AX66="NG",AY68="NG",AY72="NG",AX76="NG",BB79="NG",AW82="NG",AW84="NG",AND(OR(AV96=TRUE,AV97=TRUE),AV99=FALSE))),"※","-")</f>
        <v>※</v>
      </c>
      <c r="AC5" s="2417"/>
      <c r="AD5" s="530">
        <v>7</v>
      </c>
      <c r="AE5" s="2418" t="str">
        <f>IF(OR(AV126="NG",AV153="NG"),"※","-")</f>
        <v>-</v>
      </c>
      <c r="AF5" s="2419"/>
      <c r="AG5" s="722">
        <v>8</v>
      </c>
      <c r="AH5" s="2872" t="str">
        <f>IF(AV155="NG","※","-")</f>
        <v>-</v>
      </c>
      <c r="AI5" s="2873"/>
      <c r="AJ5" s="560"/>
      <c r="AK5" s="561"/>
      <c r="AL5" s="1474" t="s">
        <v>779</v>
      </c>
      <c r="AM5" s="2437"/>
      <c r="AN5" s="2437"/>
      <c r="AO5" s="2437"/>
      <c r="AP5" s="2443">
        <v>6691</v>
      </c>
      <c r="AQ5" s="2443"/>
      <c r="AR5" s="2443"/>
      <c r="AS5" s="2443"/>
      <c r="AT5" s="2445"/>
      <c r="AU5" s="167"/>
      <c r="AV5" s="254"/>
      <c r="BV5" s="43"/>
      <c r="BX5" s="2" t="s">
        <v>1996</v>
      </c>
      <c r="BZ5" s="583" t="s">
        <v>1305</v>
      </c>
      <c r="CA5" s="584" t="str">
        <f t="shared" si="0"/>
        <v>0435209</v>
      </c>
      <c r="CB5" s="585" t="s">
        <v>649</v>
      </c>
      <c r="CD5" s="108">
        <v>6050</v>
      </c>
      <c r="CE5" s="272" t="s">
        <v>3587</v>
      </c>
      <c r="CF5" s="108">
        <v>6050</v>
      </c>
      <c r="CH5" s="49" t="s">
        <v>356</v>
      </c>
      <c r="CI5" s="49" t="s">
        <v>21</v>
      </c>
      <c r="CJ5" s="49">
        <v>10</v>
      </c>
      <c r="CK5" s="49" t="s">
        <v>216</v>
      </c>
      <c r="CL5" s="49" t="s">
        <v>357</v>
      </c>
      <c r="CM5" s="49"/>
      <c r="CN5" s="49" t="s">
        <v>358</v>
      </c>
      <c r="CO5" s="50" t="s">
        <v>306</v>
      </c>
      <c r="CP5" s="51" t="str">
        <f>ASC(W3)</f>
        <v>1629244</v>
      </c>
      <c r="CQ5" s="2"/>
      <c r="CR5" s="52" t="s">
        <v>1923</v>
      </c>
      <c r="CS5" s="52">
        <v>107</v>
      </c>
      <c r="CT5" s="53" t="str">
        <f t="shared" ref="CT5:CT24" si="3">$CP$14</f>
        <v>00000000</v>
      </c>
      <c r="CU5" s="54">
        <f>IF(CV5&gt;0,1,0)</f>
        <v>0</v>
      </c>
      <c r="CV5" s="10">
        <f t="shared" si="1"/>
        <v>0</v>
      </c>
      <c r="CW5" s="8" t="s">
        <v>304</v>
      </c>
      <c r="CX5" s="8" t="s">
        <v>750</v>
      </c>
      <c r="CY5" s="38" t="s">
        <v>733</v>
      </c>
      <c r="CZ5" s="39" t="s">
        <v>349</v>
      </c>
      <c r="DA5" s="38"/>
      <c r="DB5" s="71" t="str">
        <f t="shared" si="2"/>
        <v>001</v>
      </c>
      <c r="DC5" s="101" t="s">
        <v>305</v>
      </c>
      <c r="DD5" s="72">
        <v>0</v>
      </c>
      <c r="DF5" s="64"/>
      <c r="DG5" s="64"/>
      <c r="DH5" s="73" t="s">
        <v>891</v>
      </c>
      <c r="DI5" s="74" t="s">
        <v>335</v>
      </c>
      <c r="DJ5" s="38"/>
      <c r="DK5" s="75" t="str">
        <f t="shared" ref="DK5:DK45" si="4">DL5&amp;DM5</f>
        <v>106242Y5</v>
      </c>
      <c r="DL5" s="78" t="s">
        <v>3644</v>
      </c>
      <c r="DM5" s="76" t="s">
        <v>912</v>
      </c>
      <c r="DN5" s="226" t="str">
        <f>ASC(SUBSTITUTE(SUBSTITUTE(SUBSTITUTE(T(記入シート1!I60),"―","ー"),"－","‐"),"～","ー"))</f>
        <v/>
      </c>
      <c r="DP5" s="83" t="s">
        <v>1250</v>
      </c>
      <c r="DQ5" s="83" t="s">
        <v>1117</v>
      </c>
      <c r="DR5" s="83" t="s">
        <v>1112</v>
      </c>
      <c r="DS5" s="83" t="s">
        <v>1255</v>
      </c>
      <c r="DT5" s="50" t="s">
        <v>1118</v>
      </c>
      <c r="DU5" s="227">
        <f>IF(記入シート1!AV99=0,"",記入シート1!AV99)</f>
        <v>3</v>
      </c>
      <c r="DX5" s="85"/>
      <c r="DY5" s="85"/>
    </row>
    <row r="6" spans="1:129" ht="19.5" customHeight="1" thickTop="1" thickBot="1">
      <c r="B6" s="181"/>
      <c r="C6" s="233"/>
      <c r="D6" s="233"/>
      <c r="E6" s="233"/>
      <c r="F6" s="233"/>
      <c r="G6" s="233"/>
      <c r="H6" s="233"/>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2"/>
      <c r="AI6" s="232"/>
      <c r="AJ6" s="232"/>
      <c r="AK6" s="232"/>
      <c r="AL6" s="233"/>
      <c r="AM6" s="233"/>
      <c r="AN6" s="233"/>
      <c r="AO6" s="233"/>
      <c r="AP6" s="485"/>
      <c r="AQ6" s="234"/>
      <c r="AR6" s="234"/>
      <c r="AS6" s="234"/>
      <c r="AT6" s="235"/>
      <c r="AU6" s="167"/>
      <c r="AV6" s="254">
        <f>SUM(AW11:AW23)+SUM(AW27:AW38)+SUM(AW44:AW45,AW47:AW50)+SUM(AW60,AW64:AW65,AW67,AW71,AW75,AW78)</f>
        <v>0</v>
      </c>
      <c r="AW6" s="20" t="s">
        <v>3842</v>
      </c>
      <c r="BX6" s="2" t="s">
        <v>1997</v>
      </c>
      <c r="BZ6" s="583" t="s">
        <v>1306</v>
      </c>
      <c r="CA6" s="584" t="str">
        <f t="shared" si="0"/>
        <v>0441261</v>
      </c>
      <c r="CB6" s="585" t="s">
        <v>650</v>
      </c>
      <c r="CC6" s="9"/>
      <c r="CD6" s="108">
        <v>6052</v>
      </c>
      <c r="CE6" s="272" t="s">
        <v>3588</v>
      </c>
      <c r="CF6" s="108">
        <v>6052</v>
      </c>
      <c r="CH6" s="49" t="s">
        <v>346</v>
      </c>
      <c r="CI6" s="49" t="s">
        <v>292</v>
      </c>
      <c r="CJ6" s="49">
        <v>4</v>
      </c>
      <c r="CK6" s="49" t="s">
        <v>216</v>
      </c>
      <c r="CL6" s="49" t="s">
        <v>220</v>
      </c>
      <c r="CM6" s="49"/>
      <c r="CN6" s="49" t="s">
        <v>347</v>
      </c>
      <c r="CO6" s="106" t="s">
        <v>348</v>
      </c>
      <c r="CP6" s="106">
        <f>AP5</f>
        <v>6691</v>
      </c>
      <c r="CQ6" s="2"/>
      <c r="CR6" s="52" t="s">
        <v>1403</v>
      </c>
      <c r="CS6" s="52">
        <v>108</v>
      </c>
      <c r="CT6" s="53" t="str">
        <f t="shared" si="3"/>
        <v>00000000</v>
      </c>
      <c r="CU6" s="54">
        <f>IF(CV6&gt;0,1,0)</f>
        <v>0</v>
      </c>
      <c r="CV6" s="10">
        <f t="shared" si="1"/>
        <v>0</v>
      </c>
      <c r="CW6" s="34" t="s">
        <v>314</v>
      </c>
      <c r="CX6" s="34" t="s">
        <v>629</v>
      </c>
      <c r="CY6" s="40" t="s">
        <v>734</v>
      </c>
      <c r="CZ6" s="41" t="s">
        <v>757</v>
      </c>
      <c r="DA6" s="40"/>
      <c r="DB6" s="34" t="str">
        <f t="shared" si="2"/>
        <v>001</v>
      </c>
      <c r="DC6" s="81" t="s">
        <v>315</v>
      </c>
      <c r="DD6" s="96"/>
      <c r="DF6" s="64"/>
      <c r="DG6" s="64"/>
      <c r="DH6" s="73" t="s">
        <v>891</v>
      </c>
      <c r="DI6" s="74" t="s">
        <v>892</v>
      </c>
      <c r="DJ6" s="74"/>
      <c r="DK6" s="75" t="str">
        <f t="shared" si="4"/>
        <v>106242Y6</v>
      </c>
      <c r="DL6" s="78" t="s">
        <v>3644</v>
      </c>
      <c r="DM6" s="76" t="s">
        <v>913</v>
      </c>
      <c r="DN6" s="226" t="str">
        <f>ASC(記入シート1!I43)</f>
        <v/>
      </c>
      <c r="DP6" s="83" t="s">
        <v>1250</v>
      </c>
      <c r="DQ6" s="83" t="s">
        <v>1119</v>
      </c>
      <c r="DR6" s="83" t="s">
        <v>1252</v>
      </c>
      <c r="DS6" s="83" t="s">
        <v>1256</v>
      </c>
      <c r="DT6" s="50" t="s">
        <v>1257</v>
      </c>
      <c r="DU6" s="227" t="str">
        <f>IF(記入シート1!AV99=2,RIGHT("0000"&amp;記入シート1!AF99,4)&amp;RIGHT("00"&amp;記入シート1!AJ99,2),"")</f>
        <v/>
      </c>
      <c r="DX6" s="85"/>
      <c r="DY6" s="85"/>
    </row>
    <row r="7" spans="1:129" ht="19.5" customHeight="1" thickTop="1" thickBot="1">
      <c r="B7" s="180"/>
      <c r="C7" s="237"/>
      <c r="D7" s="237"/>
      <c r="E7" s="237"/>
      <c r="F7" s="237"/>
      <c r="G7" s="237"/>
      <c r="H7" s="237"/>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9"/>
      <c r="AI7" s="239"/>
      <c r="AJ7" s="239"/>
      <c r="AK7" s="239"/>
      <c r="AL7" s="237"/>
      <c r="AM7" s="237"/>
      <c r="AN7" s="237"/>
      <c r="AO7" s="237"/>
      <c r="AP7" s="486"/>
      <c r="AQ7" s="486"/>
      <c r="AR7" s="486"/>
      <c r="AS7" s="486"/>
      <c r="AT7" s="486"/>
      <c r="AU7" s="166"/>
      <c r="AV7" s="254">
        <f>記入シート1!AV13</f>
        <v>1</v>
      </c>
      <c r="AW7" s="20" t="s">
        <v>5629</v>
      </c>
      <c r="BX7" s="2" t="s">
        <v>1998</v>
      </c>
      <c r="BZ7" s="583" t="s">
        <v>1307</v>
      </c>
      <c r="CA7" s="584" t="str">
        <f t="shared" si="0"/>
        <v>0441467</v>
      </c>
      <c r="CB7" s="585" t="s">
        <v>651</v>
      </c>
      <c r="CD7" s="108">
        <v>6055</v>
      </c>
      <c r="CE7" s="271" t="s">
        <v>3822</v>
      </c>
      <c r="CF7" s="108">
        <v>6055</v>
      </c>
      <c r="CH7" s="49" t="s">
        <v>361</v>
      </c>
      <c r="CI7" s="49" t="s">
        <v>22</v>
      </c>
      <c r="CJ7" s="49">
        <v>20</v>
      </c>
      <c r="CK7" s="49" t="s">
        <v>216</v>
      </c>
      <c r="CL7" s="49" t="s">
        <v>362</v>
      </c>
      <c r="CM7" s="49"/>
      <c r="CN7" s="49" t="s">
        <v>692</v>
      </c>
      <c r="CO7" s="50" t="s">
        <v>316</v>
      </c>
      <c r="CP7" s="51" t="str">
        <f>ASC(AP3)</f>
        <v/>
      </c>
      <c r="CQ7" s="2"/>
      <c r="CR7" s="52" t="s">
        <v>1976</v>
      </c>
      <c r="CS7" s="52">
        <v>109</v>
      </c>
      <c r="CT7" s="53" t="str">
        <f t="shared" si="3"/>
        <v>00000000</v>
      </c>
      <c r="CU7" s="54">
        <f t="shared" ref="CU7:CU20" si="5">IF(CV7&gt;0,1,0)</f>
        <v>0</v>
      </c>
      <c r="CV7" s="10">
        <f t="shared" si="1"/>
        <v>0</v>
      </c>
      <c r="CW7" s="8" t="s">
        <v>716</v>
      </c>
      <c r="CX7" s="8"/>
      <c r="CY7" s="38"/>
      <c r="CZ7" s="39"/>
      <c r="DA7" s="38"/>
      <c r="DB7" s="71" t="str">
        <f t="shared" si="2"/>
        <v>001</v>
      </c>
      <c r="DC7" s="101" t="s">
        <v>312</v>
      </c>
      <c r="DD7" s="909" t="str">
        <f>""</f>
        <v/>
      </c>
      <c r="DF7" s="64"/>
      <c r="DG7" s="64"/>
      <c r="DH7" s="73" t="s">
        <v>891</v>
      </c>
      <c r="DI7" s="74" t="s">
        <v>893</v>
      </c>
      <c r="DJ7" s="74"/>
      <c r="DK7" s="75" t="str">
        <f t="shared" si="4"/>
        <v>106242Y7</v>
      </c>
      <c r="DL7" s="78" t="s">
        <v>3644</v>
      </c>
      <c r="DM7" s="76" t="s">
        <v>914</v>
      </c>
      <c r="DN7" s="226" t="str">
        <f>IF(OR(記入シート1!AE55="",記入シート1!AK55="",記入シート1!AP55=""),"",CONCATENATE(ASC(記入シート1!AE55),"-",ASC(記入シート1!AK55),"-",ASC(記入シート1!AP55)))</f>
        <v/>
      </c>
      <c r="DP7" s="359" t="s">
        <v>1250</v>
      </c>
      <c r="DQ7" s="359" t="s">
        <v>1120</v>
      </c>
      <c r="DR7" s="359" t="s">
        <v>1258</v>
      </c>
      <c r="DS7" s="359"/>
      <c r="DT7" s="359" t="s">
        <v>1259</v>
      </c>
      <c r="DU7" s="360"/>
      <c r="DX7" s="85"/>
      <c r="DY7" s="85"/>
    </row>
    <row r="8" spans="1:129" ht="19.5" customHeight="1" thickTop="1" thickBot="1">
      <c r="B8" s="181">
        <f>IF(OR(L8="",P8="",T8="",AH8="",AL8="",AP8=""),1,0)</f>
        <v>1</v>
      </c>
      <c r="C8" s="2382" t="s">
        <v>694</v>
      </c>
      <c r="D8" s="2383"/>
      <c r="E8" s="2383"/>
      <c r="F8" s="2383"/>
      <c r="G8" s="2383"/>
      <c r="H8" s="2383"/>
      <c r="I8" s="2384"/>
      <c r="J8" s="2385" t="s">
        <v>380</v>
      </c>
      <c r="K8" s="2386"/>
      <c r="L8" s="2387"/>
      <c r="M8" s="2387"/>
      <c r="N8" s="2387"/>
      <c r="O8" s="176" t="s">
        <v>381</v>
      </c>
      <c r="P8" s="2387"/>
      <c r="Q8" s="2387"/>
      <c r="R8" s="2387"/>
      <c r="S8" s="176" t="s">
        <v>382</v>
      </c>
      <c r="T8" s="2387"/>
      <c r="U8" s="2387"/>
      <c r="V8" s="2387"/>
      <c r="W8" s="176" t="s">
        <v>383</v>
      </c>
      <c r="X8" s="230"/>
      <c r="Y8" s="2383" t="s">
        <v>693</v>
      </c>
      <c r="Z8" s="2383"/>
      <c r="AA8" s="2383"/>
      <c r="AB8" s="2383"/>
      <c r="AC8" s="2383"/>
      <c r="AD8" s="2383"/>
      <c r="AE8" s="2384"/>
      <c r="AF8" s="2385" t="s">
        <v>380</v>
      </c>
      <c r="AG8" s="2386"/>
      <c r="AH8" s="2387"/>
      <c r="AI8" s="2387"/>
      <c r="AJ8" s="2387"/>
      <c r="AK8" s="176" t="s">
        <v>381</v>
      </c>
      <c r="AL8" s="2387"/>
      <c r="AM8" s="2387"/>
      <c r="AN8" s="2387"/>
      <c r="AO8" s="176" t="s">
        <v>1089</v>
      </c>
      <c r="AP8" s="2387"/>
      <c r="AQ8" s="2387"/>
      <c r="AR8" s="2387"/>
      <c r="AS8" s="176" t="s">
        <v>383</v>
      </c>
      <c r="AT8" s="177"/>
      <c r="AU8" s="167"/>
      <c r="AV8" s="151" t="str">
        <f>IF(OR(L8="",P8="",T8="",AH8="",AL8="",AP8=""),"NG","OK")</f>
        <v>NG</v>
      </c>
      <c r="AX8" s="352" t="str">
        <f>IF(AV8="OK",DATE(L8,P8,T8),"")</f>
        <v/>
      </c>
      <c r="AY8" s="352" t="str">
        <f>IF(AV8="OK",DATE(AH8,AL8,AP8),"")</f>
        <v/>
      </c>
      <c r="AZ8" s="114" t="str">
        <f>IF(AX8&gt;AY8,"NG","OK")</f>
        <v>OK</v>
      </c>
      <c r="BL8" s="764">
        <f>COLUMN(Q26)</f>
        <v>17</v>
      </c>
      <c r="BM8" s="764">
        <f>COLUMN(U26)</f>
        <v>21</v>
      </c>
      <c r="BN8" s="764">
        <f>COLUMN(Y26)</f>
        <v>25</v>
      </c>
      <c r="BO8" s="764">
        <f>COLUMN(AC26)</f>
        <v>29</v>
      </c>
      <c r="BP8" s="764">
        <f>COLUMN(AG26)</f>
        <v>33</v>
      </c>
      <c r="BT8" s="2" t="s">
        <v>4083</v>
      </c>
      <c r="BX8" s="2" t="s">
        <v>1999</v>
      </c>
      <c r="BZ8" s="583" t="s">
        <v>1308</v>
      </c>
      <c r="CA8" s="584" t="str">
        <f t="shared" si="0"/>
        <v>0446579</v>
      </c>
      <c r="CB8" s="585" t="s">
        <v>1369</v>
      </c>
      <c r="CD8" s="108">
        <v>6061</v>
      </c>
      <c r="CE8" s="271" t="s">
        <v>3596</v>
      </c>
      <c r="CF8" s="108">
        <v>6061</v>
      </c>
      <c r="CH8" s="49" t="s">
        <v>366</v>
      </c>
      <c r="CI8" s="49" t="s">
        <v>292</v>
      </c>
      <c r="CJ8" s="49">
        <v>4</v>
      </c>
      <c r="CK8" s="49" t="s">
        <v>362</v>
      </c>
      <c r="CL8" s="49" t="s">
        <v>362</v>
      </c>
      <c r="CM8" s="57"/>
      <c r="CN8" s="58" t="s">
        <v>367</v>
      </c>
      <c r="CO8" s="50" t="s">
        <v>368</v>
      </c>
      <c r="CP8" s="51">
        <f>IF(LEN(AG4)&gt;0,AG4,"")</f>
        <v>6312</v>
      </c>
      <c r="CQ8" s="2"/>
      <c r="CR8" s="52" t="s">
        <v>1972</v>
      </c>
      <c r="CS8" s="52">
        <v>110</v>
      </c>
      <c r="CT8" s="53" t="str">
        <f t="shared" si="3"/>
        <v>00000000</v>
      </c>
      <c r="CU8" s="54">
        <f t="shared" si="5"/>
        <v>0</v>
      </c>
      <c r="CV8" s="10">
        <f t="shared" si="1"/>
        <v>0</v>
      </c>
      <c r="CW8" s="8" t="s">
        <v>5</v>
      </c>
      <c r="CX8" s="8" t="s">
        <v>706</v>
      </c>
      <c r="CY8" s="38" t="s">
        <v>735</v>
      </c>
      <c r="CZ8" s="39" t="s">
        <v>625</v>
      </c>
      <c r="DA8" s="38"/>
      <c r="DB8" s="71" t="str">
        <f t="shared" si="2"/>
        <v>001</v>
      </c>
      <c r="DC8" s="101" t="s">
        <v>310</v>
      </c>
      <c r="DD8" s="72">
        <f>IF(AV84=2,1,IF(AV84=3,2,0))</f>
        <v>2</v>
      </c>
      <c r="DF8" s="64"/>
      <c r="DG8" s="64"/>
      <c r="DH8" s="73" t="s">
        <v>891</v>
      </c>
      <c r="DI8" s="74" t="s">
        <v>894</v>
      </c>
      <c r="DJ8" s="74" t="s">
        <v>929</v>
      </c>
      <c r="DK8" s="75" t="str">
        <f t="shared" si="4"/>
        <v>106242Y8</v>
      </c>
      <c r="DL8" s="78" t="s">
        <v>3644</v>
      </c>
      <c r="DM8" s="76" t="s">
        <v>915</v>
      </c>
      <c r="DN8" s="226" t="str">
        <f>ASC(記入シート1!AV13)</f>
        <v>1</v>
      </c>
      <c r="DP8" s="359" t="s">
        <v>1250</v>
      </c>
      <c r="DQ8" s="359" t="s">
        <v>1121</v>
      </c>
      <c r="DR8" s="359" t="s">
        <v>1258</v>
      </c>
      <c r="DS8" s="359"/>
      <c r="DT8" s="359" t="s">
        <v>1260</v>
      </c>
      <c r="DU8" s="360"/>
      <c r="DX8" s="85"/>
      <c r="DY8" s="85"/>
    </row>
    <row r="9" spans="1:129" ht="19.5" customHeight="1" thickTop="1">
      <c r="B9" s="181" t="str">
        <f>IF(OR(AV8="NG",AV126="NG",AV150=0),"NG","OK")</f>
        <v>NG</v>
      </c>
      <c r="C9" s="111"/>
      <c r="D9" s="111"/>
      <c r="E9" s="111"/>
      <c r="F9" s="111"/>
      <c r="G9" s="111"/>
      <c r="H9" s="111"/>
      <c r="I9" s="111"/>
      <c r="J9" s="111"/>
      <c r="K9" s="111"/>
      <c r="L9" s="111"/>
      <c r="M9" s="111"/>
      <c r="N9" s="111"/>
      <c r="O9" s="111"/>
      <c r="P9" s="111"/>
      <c r="Q9" s="111"/>
      <c r="R9" s="111"/>
      <c r="S9" s="111"/>
      <c r="T9" s="111"/>
      <c r="U9" s="111"/>
      <c r="V9" s="111"/>
      <c r="W9" s="111"/>
      <c r="X9" s="111"/>
      <c r="Y9" s="111" t="s">
        <v>1968</v>
      </c>
      <c r="Z9" s="353"/>
      <c r="AA9" s="111"/>
      <c r="AB9" s="111"/>
      <c r="AC9" s="111"/>
      <c r="AD9" s="111"/>
      <c r="AE9" s="111"/>
      <c r="AF9" s="111"/>
      <c r="AG9" s="111"/>
      <c r="AH9" s="111"/>
      <c r="AI9" s="111"/>
      <c r="AJ9" s="111"/>
      <c r="AK9" s="111"/>
      <c r="AL9" s="111"/>
      <c r="AM9" s="111"/>
      <c r="AN9" s="111"/>
      <c r="AO9" s="111"/>
      <c r="AP9" s="111"/>
      <c r="AT9" s="186"/>
      <c r="AU9" s="167"/>
      <c r="AV9" s="151" t="str">
        <f>IF(UPPER(ASC(AO15))="SMBR-SHINSA","OK","NG")</f>
        <v>NG</v>
      </c>
      <c r="AW9" s="20" t="s">
        <v>5746</v>
      </c>
      <c r="AX9" s="90"/>
      <c r="AY9" s="91" t="s">
        <v>7</v>
      </c>
      <c r="AZ9" s="91" t="s">
        <v>454</v>
      </c>
      <c r="BA9" s="16" t="s">
        <v>908</v>
      </c>
      <c r="BB9" s="16" t="s">
        <v>0</v>
      </c>
      <c r="BC9" s="16" t="s">
        <v>455</v>
      </c>
      <c r="BD9" s="16" t="s">
        <v>975</v>
      </c>
      <c r="BE9" s="16"/>
      <c r="BF9" s="16"/>
      <c r="BG9" s="16"/>
      <c r="BH9" s="16"/>
      <c r="BI9" s="10" t="s">
        <v>456</v>
      </c>
      <c r="BJ9" s="10" t="s">
        <v>457</v>
      </c>
      <c r="BK9" s="10" t="s">
        <v>458</v>
      </c>
      <c r="BL9" s="13" t="s">
        <v>973</v>
      </c>
      <c r="BM9" s="16" t="s">
        <v>974</v>
      </c>
      <c r="BN9" s="13" t="s">
        <v>459</v>
      </c>
      <c r="BO9" s="13" t="s">
        <v>460</v>
      </c>
      <c r="BP9" s="13" t="s">
        <v>461</v>
      </c>
      <c r="BR9" s="16" t="s">
        <v>7</v>
      </c>
      <c r="BT9" s="2" t="s">
        <v>4084</v>
      </c>
      <c r="BX9" s="2" t="s">
        <v>2000</v>
      </c>
      <c r="BZ9" s="583" t="s">
        <v>1309</v>
      </c>
      <c r="CA9" s="584" t="str">
        <f t="shared" si="0"/>
        <v>0510538</v>
      </c>
      <c r="CB9" s="585" t="s">
        <v>652</v>
      </c>
      <c r="CD9" s="108">
        <v>6063</v>
      </c>
      <c r="CE9" s="271" t="s">
        <v>3823</v>
      </c>
      <c r="CF9" s="108">
        <v>6063</v>
      </c>
      <c r="CH9" s="49" t="s">
        <v>785</v>
      </c>
      <c r="CI9" s="49" t="s">
        <v>21</v>
      </c>
      <c r="CJ9" s="49">
        <v>60</v>
      </c>
      <c r="CK9" s="49" t="s">
        <v>83</v>
      </c>
      <c r="CL9" s="49" t="s">
        <v>83</v>
      </c>
      <c r="CM9" s="57"/>
      <c r="CN9" s="58" t="s">
        <v>784</v>
      </c>
      <c r="CO9" s="50" t="s">
        <v>364</v>
      </c>
      <c r="CP9" s="51" t="str">
        <f>T(AI3)</f>
        <v/>
      </c>
      <c r="CQ9" s="2"/>
      <c r="CR9" s="52" t="s">
        <v>1974</v>
      </c>
      <c r="CS9" s="52">
        <v>111</v>
      </c>
      <c r="CT9" s="53" t="str">
        <f t="shared" si="3"/>
        <v>00000000</v>
      </c>
      <c r="CU9" s="54">
        <f t="shared" si="5"/>
        <v>0</v>
      </c>
      <c r="CV9" s="10">
        <f t="shared" si="1"/>
        <v>0</v>
      </c>
      <c r="CW9" s="8" t="s">
        <v>307</v>
      </c>
      <c r="CX9" s="8" t="s">
        <v>629</v>
      </c>
      <c r="CY9" s="38"/>
      <c r="CZ9" s="39"/>
      <c r="DA9" s="38" t="s">
        <v>707</v>
      </c>
      <c r="DB9" s="71" t="str">
        <f t="shared" si="2"/>
        <v>001</v>
      </c>
      <c r="DC9" s="101" t="s">
        <v>308</v>
      </c>
      <c r="DD9" s="72" t="str">
        <f>IF(Q85&lt;&gt;"",Q85&amp;"."&amp;S85&amp;"."&amp;U85&amp;"."&amp;W85,"")&amp;IF(AA85&lt;&gt;"",","&amp;AA85&amp;"."&amp;AC85&amp;"."&amp;AE85&amp;"."&amp;AG85,"")&amp;IF(AK85&lt;&gt;"",","&amp;AK85&amp;"."&amp;AM85&amp;"."&amp;AO85&amp;"."&amp;AQ85,"")&amp;IF(Q86&lt;&gt;"",","&amp;Q86&amp;"."&amp;S86&amp;"."&amp;U86&amp;"."&amp;W86,"")&amp;IF(AA86&lt;&gt;"",","&amp;AA86&amp;"."&amp;AC86&amp;"."&amp;AE86&amp;"."&amp;AG86,"")&amp;IF(AK86&lt;&gt;"",","&amp;AK86&amp;"."&amp;AM86&amp;"."&amp;AO86&amp;"."&amp;AQ86,"")</f>
        <v/>
      </c>
      <c r="DE9" s="64"/>
      <c r="DF9" s="64"/>
      <c r="DG9" s="64"/>
      <c r="DH9" s="73" t="s">
        <v>891</v>
      </c>
      <c r="DI9" s="74" t="s">
        <v>940</v>
      </c>
      <c r="DJ9" s="74"/>
      <c r="DK9" s="75" t="str">
        <f>DL9&amp;DM9</f>
        <v>106242Y9</v>
      </c>
      <c r="DL9" s="78" t="s">
        <v>3644</v>
      </c>
      <c r="DM9" s="76" t="s">
        <v>916</v>
      </c>
      <c r="DN9" s="226" t="str">
        <f>CONCATENATE(ASC(記入シート1!I76),"-",ASC(記入シート1!O76),"-",ASC(記入シート1!T76))</f>
        <v>--</v>
      </c>
      <c r="DP9" s="359" t="s">
        <v>1250</v>
      </c>
      <c r="DQ9" s="359" t="s">
        <v>1122</v>
      </c>
      <c r="DR9" s="359" t="s">
        <v>1258</v>
      </c>
      <c r="DS9" s="359"/>
      <c r="DT9" s="359" t="s">
        <v>1261</v>
      </c>
      <c r="DU9" s="360"/>
      <c r="DX9" s="85"/>
      <c r="DY9" s="85"/>
    </row>
    <row r="10" spans="1:129" ht="19.5" customHeight="1">
      <c r="B10" s="181"/>
      <c r="C10" s="111"/>
      <c r="D10" s="111"/>
      <c r="E10" s="111"/>
      <c r="F10" s="111"/>
      <c r="G10" s="111"/>
      <c r="H10" s="111"/>
      <c r="I10" s="111"/>
      <c r="J10" s="111"/>
      <c r="K10" s="111"/>
      <c r="L10" s="112" t="str">
        <f>IF(AND(AV18=TRUE,【JCB用記入シート】業態シート!G5=0,AS18="包括"),"　※【JCB用記入シート】業態シート　のご入力が必要です。","")</f>
        <v/>
      </c>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T10" s="168"/>
      <c r="AU10" s="167"/>
      <c r="AV10" s="151" t="str">
        <f>IF(AND(AO15="",AA16&lt;=2.4%),"NG","OK")</f>
        <v>OK</v>
      </c>
      <c r="AW10" s="20" t="s">
        <v>5642</v>
      </c>
      <c r="BL10" s="2">
        <f>COLUMN(Q13)</f>
        <v>17</v>
      </c>
      <c r="BM10" s="2">
        <f>COLUMN(T13)</f>
        <v>20</v>
      </c>
      <c r="BN10" s="2">
        <f>COLUMN(AA13)</f>
        <v>27</v>
      </c>
      <c r="BO10" s="2">
        <f>COLUMN(AE13)</f>
        <v>31</v>
      </c>
      <c r="BP10" s="2">
        <f>COLUMN(AH13)</f>
        <v>34</v>
      </c>
      <c r="BX10" s="2" t="s">
        <v>2001</v>
      </c>
      <c r="BZ10" s="583" t="s">
        <v>1346</v>
      </c>
      <c r="CA10" s="584" t="str">
        <f t="shared" si="0"/>
        <v>0518614</v>
      </c>
      <c r="CB10" s="585" t="s">
        <v>653</v>
      </c>
      <c r="CD10" s="108">
        <v>6064</v>
      </c>
      <c r="CE10" s="271" t="s">
        <v>3597</v>
      </c>
      <c r="CF10" s="108">
        <v>6064</v>
      </c>
      <c r="CH10" s="49" t="s">
        <v>370</v>
      </c>
      <c r="CI10" s="49" t="s">
        <v>63</v>
      </c>
      <c r="CJ10" s="49">
        <v>1</v>
      </c>
      <c r="CK10" s="49" t="s">
        <v>216</v>
      </c>
      <c r="CL10" s="49" t="s">
        <v>220</v>
      </c>
      <c r="CM10" s="49" t="s">
        <v>589</v>
      </c>
      <c r="CN10" s="49"/>
      <c r="CO10" s="50" t="s">
        <v>303</v>
      </c>
      <c r="CP10" s="51">
        <f>IF(記入シート1!AV18=TRUE,1,0)</f>
        <v>0</v>
      </c>
      <c r="CQ10" s="2"/>
      <c r="CR10" s="968" t="s">
        <v>3809</v>
      </c>
      <c r="CS10" s="52">
        <v>932</v>
      </c>
      <c r="CT10" s="53" t="str">
        <f t="shared" si="3"/>
        <v>00000000</v>
      </c>
      <c r="CU10" s="54">
        <f t="shared" si="5"/>
        <v>0</v>
      </c>
      <c r="CV10" s="10">
        <f t="shared" si="1"/>
        <v>0</v>
      </c>
      <c r="CW10" s="8" t="s">
        <v>301</v>
      </c>
      <c r="CX10" s="8" t="s">
        <v>712</v>
      </c>
      <c r="CY10" s="38" t="s">
        <v>736</v>
      </c>
      <c r="CZ10" s="39" t="s">
        <v>343</v>
      </c>
      <c r="DA10" s="38"/>
      <c r="DB10" s="71" t="str">
        <f t="shared" si="2"/>
        <v>001</v>
      </c>
      <c r="DC10" s="101" t="s">
        <v>302</v>
      </c>
      <c r="DD10" s="72">
        <f>IF(AV87=2,1,0)</f>
        <v>0</v>
      </c>
      <c r="DE10" s="64"/>
      <c r="DF10" s="64"/>
      <c r="DG10" s="64"/>
      <c r="DH10" s="73" t="s">
        <v>891</v>
      </c>
      <c r="DI10" s="74" t="s">
        <v>895</v>
      </c>
      <c r="DJ10" s="38" t="s">
        <v>928</v>
      </c>
      <c r="DK10" s="75" t="str">
        <f t="shared" si="4"/>
        <v>106242YA</v>
      </c>
      <c r="DL10" s="78" t="s">
        <v>3644</v>
      </c>
      <c r="DM10" s="76" t="s">
        <v>917</v>
      </c>
      <c r="DN10" s="226" t="str">
        <f>ASC(記入シート1!AX88)</f>
        <v>01</v>
      </c>
      <c r="DP10" s="359" t="s">
        <v>1250</v>
      </c>
      <c r="DQ10" s="359" t="s">
        <v>1123</v>
      </c>
      <c r="DR10" s="359" t="s">
        <v>1258</v>
      </c>
      <c r="DS10" s="359"/>
      <c r="DT10" s="359" t="s">
        <v>1262</v>
      </c>
      <c r="DU10" s="360"/>
      <c r="DX10" s="85"/>
      <c r="DY10" s="85"/>
    </row>
    <row r="11" spans="1:129" ht="19.5" customHeight="1">
      <c r="A11" s="111"/>
      <c r="B11" s="181"/>
      <c r="C11" s="134"/>
      <c r="D11" s="134"/>
      <c r="E11" s="134"/>
      <c r="F11" s="134"/>
      <c r="G11" s="134"/>
      <c r="H11" s="134"/>
      <c r="I11" s="134"/>
      <c r="J11" s="134"/>
      <c r="K11" s="134"/>
      <c r="L11" s="155"/>
      <c r="M11" s="1494" t="s">
        <v>844</v>
      </c>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c r="AU11" s="171"/>
      <c r="AW11" s="752">
        <f>IF(OR(AV17=TRUE,AV19=TRUE),1,0)</f>
        <v>0</v>
      </c>
      <c r="AX11" s="747" t="s">
        <v>3639</v>
      </c>
      <c r="AY11" s="753" t="str">
        <f>TEXT(BR11,"000")</f>
        <v>106</v>
      </c>
      <c r="AZ11" s="427">
        <f>AW11</f>
        <v>0</v>
      </c>
      <c r="BA11" s="17" t="str">
        <f>IF(O16="2回入金","92",IF(O16="1回入金","91",IF(O16="早期2回","R2",IF(O16="早期3回","R3",IF(O16="早期4回","R4",IF(O16="早期6回","R6",""))))))</f>
        <v>92</v>
      </c>
      <c r="BB11" s="749" t="s">
        <v>3650</v>
      </c>
      <c r="BC11" s="872" t="s">
        <v>3649</v>
      </c>
      <c r="BD11" s="760">
        <f>ROW(C16)</f>
        <v>16</v>
      </c>
      <c r="BE11" s="760">
        <v>1</v>
      </c>
      <c r="BF11" s="15" t="str">
        <f>BR11&amp;BC11&amp;BE11</f>
        <v>106106011</v>
      </c>
      <c r="BG11" s="14"/>
      <c r="BH11" s="93" t="str">
        <f t="shared" ref="BH11:BH18" si="6">AX11&amp;"→"</f>
        <v>VISA→</v>
      </c>
      <c r="BI11" s="208">
        <v>10602</v>
      </c>
      <c r="BJ11" s="14">
        <f t="shared" ref="BJ11:BJ18" si="7">AW11</f>
        <v>0</v>
      </c>
      <c r="BK11" s="760">
        <f>$AZ$11</f>
        <v>0</v>
      </c>
      <c r="BL11" s="2822" t="str">
        <f ca="1">IF(AV15*1=0,"",INDIRECT(ADDRESS($BD11,BL$10)))</f>
        <v/>
      </c>
      <c r="BM11" s="2814" t="str">
        <f ca="1">IF(AV15*1=0,"",INDIRECT(ADDRESS($BD11,BM$10)))</f>
        <v/>
      </c>
      <c r="BN11" s="266" t="str">
        <f ca="1">IF($AW11=0,"",INDIRECT(ADDRESS($BD11,BN$10)))</f>
        <v/>
      </c>
      <c r="BO11" s="266" t="str">
        <f ca="1">IF($AW11=0,"",INDIRECT(ADDRESS($BD11,BO$10)))</f>
        <v/>
      </c>
      <c r="BP11" s="389" t="str">
        <f ca="1">IF($AW11=0,"",INDIRECT(ADDRESS($BD11,BP$10)))</f>
        <v/>
      </c>
      <c r="BR11" s="17">
        <v>106</v>
      </c>
      <c r="BT11" s="2" t="s">
        <v>3641</v>
      </c>
      <c r="BX11" s="2" t="s">
        <v>2002</v>
      </c>
      <c r="BZ11" s="583" t="s">
        <v>1347</v>
      </c>
      <c r="CA11" s="584" t="str">
        <f t="shared" si="0"/>
        <v>0518623</v>
      </c>
      <c r="CB11" s="585" t="s">
        <v>654</v>
      </c>
      <c r="CD11" s="108">
        <v>6065</v>
      </c>
      <c r="CE11" s="271" t="s">
        <v>3598</v>
      </c>
      <c r="CF11" s="108">
        <v>6065</v>
      </c>
      <c r="CH11" s="55" t="s">
        <v>338</v>
      </c>
      <c r="CI11" s="55" t="s">
        <v>63</v>
      </c>
      <c r="CJ11" s="55">
        <v>2</v>
      </c>
      <c r="CK11" s="55" t="s">
        <v>216</v>
      </c>
      <c r="CL11" s="55" t="s">
        <v>339</v>
      </c>
      <c r="CM11" s="55" t="s">
        <v>590</v>
      </c>
      <c r="CN11" s="55" t="s">
        <v>340</v>
      </c>
      <c r="CO11" s="56" t="s">
        <v>341</v>
      </c>
      <c r="CP11" s="56" t="s">
        <v>842</v>
      </c>
      <c r="CQ11" s="2"/>
      <c r="CR11" s="52" t="s">
        <v>2151</v>
      </c>
      <c r="CS11" s="52">
        <v>931</v>
      </c>
      <c r="CT11" s="53" t="str">
        <f t="shared" si="3"/>
        <v>00000000</v>
      </c>
      <c r="CU11" s="54">
        <f t="shared" si="5"/>
        <v>0</v>
      </c>
      <c r="CV11" s="10">
        <f t="shared" si="1"/>
        <v>0</v>
      </c>
      <c r="CW11" s="1032" t="s">
        <v>5505</v>
      </c>
      <c r="CX11" s="1032"/>
      <c r="CY11" s="1033"/>
      <c r="CZ11" s="1034"/>
      <c r="DA11" s="1033"/>
      <c r="DB11" s="71" t="str">
        <f t="shared" si="2"/>
        <v>001</v>
      </c>
      <c r="DC11" s="1035" t="s">
        <v>5510</v>
      </c>
      <c r="DD11" s="72">
        <f>AA126</f>
        <v>1</v>
      </c>
      <c r="DE11" s="64"/>
      <c r="DF11" s="64"/>
      <c r="DG11" s="64"/>
      <c r="DH11" s="73" t="s">
        <v>891</v>
      </c>
      <c r="DI11" s="74" t="s">
        <v>896</v>
      </c>
      <c r="DJ11" s="38"/>
      <c r="DK11" s="75" t="str">
        <f t="shared" si="4"/>
        <v>106242YB</v>
      </c>
      <c r="DL11" s="78" t="s">
        <v>3644</v>
      </c>
      <c r="DM11" s="76" t="s">
        <v>918</v>
      </c>
      <c r="DN11" s="226" t="str">
        <f>LEFT(記入シート1!AY88,30)</f>
        <v/>
      </c>
      <c r="DP11" s="83" t="s">
        <v>1263</v>
      </c>
      <c r="DQ11" s="83" t="s">
        <v>1124</v>
      </c>
      <c r="DR11" s="83" t="s">
        <v>1112</v>
      </c>
      <c r="DS11" s="83" t="s">
        <v>1264</v>
      </c>
      <c r="DT11" s="50" t="s">
        <v>1125</v>
      </c>
      <c r="DU11" s="227">
        <f>IF(記入シート1!AV94=1,0,IF(記入シート1!AV94=2,1,""))</f>
        <v>0</v>
      </c>
      <c r="DX11" s="85"/>
      <c r="DY11" s="85"/>
    </row>
    <row r="12" spans="1:129" ht="19.5" customHeight="1" thickBot="1">
      <c r="A12" s="111"/>
      <c r="B12" s="181"/>
      <c r="C12" s="134"/>
      <c r="D12" s="134"/>
      <c r="E12" s="134"/>
      <c r="F12" s="134"/>
      <c r="G12" s="134"/>
      <c r="H12" s="134"/>
      <c r="I12" s="134"/>
      <c r="J12" s="134"/>
      <c r="K12" s="134"/>
      <c r="L12" s="155"/>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171"/>
      <c r="AW12" s="751">
        <f>AW$11</f>
        <v>0</v>
      </c>
      <c r="AX12" s="751" t="str">
        <f>IF(AW12=1,"分割・リボ","")</f>
        <v/>
      </c>
      <c r="AY12" s="759"/>
      <c r="AZ12" s="204"/>
      <c r="BA12" s="205"/>
      <c r="BB12" s="749" t="s">
        <v>3650</v>
      </c>
      <c r="BC12" s="872" t="s">
        <v>1984</v>
      </c>
      <c r="BD12" s="760">
        <f>ROW(C16)</f>
        <v>16</v>
      </c>
      <c r="BE12" s="760">
        <v>2</v>
      </c>
      <c r="BF12" s="15" t="str">
        <f t="shared" ref="BF12:BF22" si="8">BR12&amp;BC12&amp;BE12</f>
        <v>106106022</v>
      </c>
      <c r="BG12" s="14"/>
      <c r="BH12" s="93" t="str">
        <f t="shared" si="6"/>
        <v>→</v>
      </c>
      <c r="BI12" s="208">
        <v>10602</v>
      </c>
      <c r="BJ12" s="14">
        <f t="shared" si="7"/>
        <v>0</v>
      </c>
      <c r="BK12" s="760">
        <f>$AZ$11</f>
        <v>0</v>
      </c>
      <c r="BL12" s="2823"/>
      <c r="BM12" s="2815"/>
      <c r="BN12" s="266" t="str">
        <f t="shared" ref="BN12:BP23" ca="1" si="9">IF($AW12=0,"",INDIRECT(ADDRESS($BD12,BN$10)))</f>
        <v/>
      </c>
      <c r="BO12" s="266" t="str">
        <f t="shared" ca="1" si="9"/>
        <v/>
      </c>
      <c r="BP12" s="389" t="str">
        <f t="shared" ca="1" si="9"/>
        <v/>
      </c>
      <c r="BR12" s="17">
        <v>106</v>
      </c>
      <c r="BT12" s="2" t="s">
        <v>3642</v>
      </c>
      <c r="BX12" s="2" t="s">
        <v>2003</v>
      </c>
      <c r="BZ12" s="583" t="s">
        <v>1310</v>
      </c>
      <c r="CA12" s="584" t="str">
        <f t="shared" si="0"/>
        <v>0518669</v>
      </c>
      <c r="CB12" s="585" t="s">
        <v>1370</v>
      </c>
      <c r="CD12" s="108">
        <v>6069</v>
      </c>
      <c r="CE12" s="271" t="s">
        <v>3824</v>
      </c>
      <c r="CF12" s="108">
        <v>6069</v>
      </c>
      <c r="CH12" s="55" t="s">
        <v>332</v>
      </c>
      <c r="CI12" s="55" t="s">
        <v>63</v>
      </c>
      <c r="CJ12" s="55">
        <v>2</v>
      </c>
      <c r="CK12" s="55" t="s">
        <v>216</v>
      </c>
      <c r="CL12" s="55" t="s">
        <v>220</v>
      </c>
      <c r="CM12" s="55" t="s">
        <v>778</v>
      </c>
      <c r="CN12" s="55" t="s">
        <v>592</v>
      </c>
      <c r="CO12" s="56" t="s">
        <v>333</v>
      </c>
      <c r="CP12" s="56" t="s">
        <v>334</v>
      </c>
      <c r="CQ12" s="2"/>
      <c r="CR12" s="52" t="s">
        <v>938</v>
      </c>
      <c r="CS12" s="52">
        <v>935</v>
      </c>
      <c r="CT12" s="53" t="str">
        <f t="shared" si="3"/>
        <v>00000000</v>
      </c>
      <c r="CU12" s="54">
        <f t="shared" si="5"/>
        <v>0</v>
      </c>
      <c r="CV12" s="10">
        <f t="shared" si="1"/>
        <v>0</v>
      </c>
      <c r="CW12" s="1032" t="s">
        <v>5506</v>
      </c>
      <c r="CX12" s="1032"/>
      <c r="CY12" s="1033"/>
      <c r="CZ12" s="1034"/>
      <c r="DA12" s="1033"/>
      <c r="DB12" s="71" t="str">
        <f t="shared" si="2"/>
        <v>001</v>
      </c>
      <c r="DC12" s="1035" t="s">
        <v>5511</v>
      </c>
      <c r="DD12" s="72">
        <f>AP148</f>
        <v>11013</v>
      </c>
      <c r="DE12" s="64"/>
      <c r="DF12" s="64"/>
      <c r="DG12" s="64"/>
      <c r="DH12" s="73" t="s">
        <v>891</v>
      </c>
      <c r="DI12" s="74" t="s">
        <v>897</v>
      </c>
      <c r="DJ12" s="38" t="s">
        <v>624</v>
      </c>
      <c r="DK12" s="75" t="str">
        <f t="shared" si="4"/>
        <v>106242YC</v>
      </c>
      <c r="DL12" s="78" t="s">
        <v>3644</v>
      </c>
      <c r="DM12" s="78" t="s">
        <v>919</v>
      </c>
      <c r="DN12" s="104">
        <f>IF(AV20=TRUE,1,0)</f>
        <v>0</v>
      </c>
      <c r="DP12" s="83" t="s">
        <v>1263</v>
      </c>
      <c r="DQ12" s="83" t="s">
        <v>1126</v>
      </c>
      <c r="DR12" s="83" t="s">
        <v>1112</v>
      </c>
      <c r="DS12" s="83" t="s">
        <v>1264</v>
      </c>
      <c r="DT12" s="50" t="s">
        <v>1127</v>
      </c>
      <c r="DU12" s="227">
        <f>IF(記入シート1!AW94=1,0,IF(記入シート1!AW94=2,1,""))</f>
        <v>0</v>
      </c>
      <c r="DX12" s="85"/>
      <c r="DY12" s="85"/>
    </row>
    <row r="13" spans="1:129" ht="19.5" customHeight="1" thickTop="1">
      <c r="A13" s="111"/>
      <c r="B13" s="181"/>
      <c r="C13" s="1228" t="s">
        <v>449</v>
      </c>
      <c r="D13" s="1229"/>
      <c r="E13" s="1229"/>
      <c r="F13" s="1229"/>
      <c r="G13" s="1229"/>
      <c r="H13" s="1229"/>
      <c r="I13" s="1230"/>
      <c r="J13" s="2190" t="s">
        <v>845</v>
      </c>
      <c r="K13" s="1229"/>
      <c r="L13" s="2388" t="s">
        <v>846</v>
      </c>
      <c r="M13" s="2389"/>
      <c r="N13" s="2390"/>
      <c r="O13" s="2394" t="s">
        <v>1059</v>
      </c>
      <c r="P13" s="2395"/>
      <c r="Q13" s="2833" t="s">
        <v>5499</v>
      </c>
      <c r="R13" s="2834"/>
      <c r="S13" s="2835"/>
      <c r="T13" s="2834" t="s">
        <v>5500</v>
      </c>
      <c r="U13" s="2834"/>
      <c r="V13" s="2835"/>
      <c r="W13" s="2834" t="str">
        <f>IF(AV9="OK","手数料(標準)","")</f>
        <v/>
      </c>
      <c r="X13" s="2834"/>
      <c r="Y13" s="2834"/>
      <c r="Z13" s="2835"/>
      <c r="AA13" s="2834" t="str">
        <f>IF(AV9="OK","手数料(SMB)","手数料")</f>
        <v>手数料</v>
      </c>
      <c r="AB13" s="2834"/>
      <c r="AC13" s="2834"/>
      <c r="AD13" s="2835"/>
      <c r="AE13" s="2839" t="s">
        <v>5745</v>
      </c>
      <c r="AF13" s="2839"/>
      <c r="AG13" s="2840"/>
      <c r="AH13" s="2839" t="s">
        <v>5501</v>
      </c>
      <c r="AI13" s="2839"/>
      <c r="AJ13" s="2840"/>
      <c r="AK13" s="2400" t="s">
        <v>2052</v>
      </c>
      <c r="AL13" s="2401"/>
      <c r="AM13" s="2401"/>
      <c r="AN13" s="2401"/>
      <c r="AO13" s="2401"/>
      <c r="AP13" s="2401"/>
      <c r="AQ13" s="2401"/>
      <c r="AR13" s="2401"/>
      <c r="AS13" s="2401"/>
      <c r="AT13" s="2402"/>
      <c r="AU13" s="171"/>
      <c r="AW13" s="751">
        <f>AW$11</f>
        <v>0</v>
      </c>
      <c r="AX13" s="751" t="str">
        <f>IF(AW13=1,"ボーナス","")</f>
        <v/>
      </c>
      <c r="AY13" s="759"/>
      <c r="AZ13" s="204"/>
      <c r="BA13" s="205"/>
      <c r="BB13" s="749" t="s">
        <v>3650</v>
      </c>
      <c r="BC13" s="872" t="s">
        <v>906</v>
      </c>
      <c r="BD13" s="760">
        <f>ROW(C16)</f>
        <v>16</v>
      </c>
      <c r="BE13" s="760">
        <v>3</v>
      </c>
      <c r="BF13" s="15" t="str">
        <f t="shared" si="8"/>
        <v>106106033</v>
      </c>
      <c r="BG13" s="14"/>
      <c r="BH13" s="93" t="str">
        <f t="shared" si="6"/>
        <v>→</v>
      </c>
      <c r="BI13" s="208">
        <v>10602</v>
      </c>
      <c r="BJ13" s="14">
        <f t="shared" si="7"/>
        <v>0</v>
      </c>
      <c r="BK13" s="760">
        <f>$AZ$11</f>
        <v>0</v>
      </c>
      <c r="BL13" s="2823"/>
      <c r="BM13" s="2815"/>
      <c r="BN13" s="266" t="str">
        <f t="shared" ca="1" si="9"/>
        <v/>
      </c>
      <c r="BO13" s="266" t="str">
        <f t="shared" ca="1" si="9"/>
        <v/>
      </c>
      <c r="BP13" s="389" t="str">
        <f t="shared" ca="1" si="9"/>
        <v/>
      </c>
      <c r="BR13" s="17">
        <v>106</v>
      </c>
      <c r="BT13" s="2" t="s">
        <v>3643</v>
      </c>
      <c r="BX13" s="2" t="s">
        <v>2004</v>
      </c>
      <c r="BZ13" s="583" t="s">
        <v>1348</v>
      </c>
      <c r="CA13" s="584" t="str">
        <f t="shared" si="0"/>
        <v>0522770</v>
      </c>
      <c r="CB13" s="585" t="s">
        <v>655</v>
      </c>
      <c r="CD13" s="108">
        <v>6044</v>
      </c>
      <c r="CE13" s="108" t="s">
        <v>3380</v>
      </c>
      <c r="CF13" s="108">
        <v>6044</v>
      </c>
      <c r="CH13" s="49" t="s">
        <v>300</v>
      </c>
      <c r="CI13" s="49" t="s">
        <v>63</v>
      </c>
      <c r="CJ13" s="49">
        <v>8</v>
      </c>
      <c r="CK13" s="49" t="s">
        <v>216</v>
      </c>
      <c r="CL13" s="49" t="s">
        <v>220</v>
      </c>
      <c r="CM13" s="49"/>
      <c r="CN13" s="49"/>
      <c r="CO13" s="50" t="s">
        <v>372</v>
      </c>
      <c r="CP13" s="51" t="str">
        <f>RIGHT("0000"&amp;L8,4)&amp;RIGHT("00"&amp;P8,2)&amp;RIGHT("00"&amp;T8,2)</f>
        <v>00000000</v>
      </c>
      <c r="CQ13" s="2"/>
      <c r="CR13" s="52" t="s">
        <v>2152</v>
      </c>
      <c r="CS13" s="52">
        <v>936</v>
      </c>
      <c r="CT13" s="53" t="str">
        <f t="shared" si="3"/>
        <v>00000000</v>
      </c>
      <c r="CU13" s="54">
        <f t="shared" si="5"/>
        <v>0</v>
      </c>
      <c r="CV13" s="10">
        <f t="shared" si="1"/>
        <v>0</v>
      </c>
      <c r="CW13" s="1032" t="s">
        <v>5097</v>
      </c>
      <c r="CX13" s="1032"/>
      <c r="CY13" s="1033" t="s">
        <v>5507</v>
      </c>
      <c r="CZ13" s="1034"/>
      <c r="DA13" s="1033"/>
      <c r="DB13" s="71" t="str">
        <f t="shared" si="2"/>
        <v>001</v>
      </c>
      <c r="DC13" s="1035" t="s">
        <v>5512</v>
      </c>
      <c r="DD13" s="72" t="str">
        <f>ASC(記入シート1!AW88)</f>
        <v>3</v>
      </c>
      <c r="DE13" s="64"/>
      <c r="DF13" s="64"/>
      <c r="DG13" s="64"/>
      <c r="DH13" s="73" t="s">
        <v>891</v>
      </c>
      <c r="DI13" s="74" t="s">
        <v>898</v>
      </c>
      <c r="DJ13" s="38" t="s">
        <v>624</v>
      </c>
      <c r="DK13" s="75" t="str">
        <f t="shared" si="4"/>
        <v>106242YD</v>
      </c>
      <c r="DL13" s="78" t="s">
        <v>3644</v>
      </c>
      <c r="DM13" s="78" t="s">
        <v>920</v>
      </c>
      <c r="DN13" s="104">
        <f>IF(AV21=TRUE,1,0)</f>
        <v>0</v>
      </c>
      <c r="DO13" s="18"/>
      <c r="DP13" s="83" t="s">
        <v>1263</v>
      </c>
      <c r="DQ13" s="83" t="s">
        <v>1128</v>
      </c>
      <c r="DR13" s="83" t="s">
        <v>1112</v>
      </c>
      <c r="DS13" s="83" t="s">
        <v>1264</v>
      </c>
      <c r="DT13" s="50" t="s">
        <v>1129</v>
      </c>
      <c r="DU13" s="227">
        <f>IF(記入シート1!AX94=1,0,IF(記入シート1!AX94=2,1,""))</f>
        <v>0</v>
      </c>
      <c r="DX13" s="85"/>
      <c r="DY13" s="85"/>
    </row>
    <row r="14" spans="1:129" ht="19.5" customHeight="1">
      <c r="A14" s="111"/>
      <c r="B14" s="181"/>
      <c r="C14" s="1200"/>
      <c r="D14" s="1201"/>
      <c r="E14" s="1201"/>
      <c r="F14" s="1201"/>
      <c r="G14" s="1201"/>
      <c r="H14" s="1201"/>
      <c r="I14" s="1202"/>
      <c r="J14" s="1280"/>
      <c r="K14" s="1201"/>
      <c r="L14" s="2391"/>
      <c r="M14" s="2392"/>
      <c r="N14" s="2393"/>
      <c r="O14" s="2396"/>
      <c r="P14" s="2397"/>
      <c r="Q14" s="2836"/>
      <c r="R14" s="2837"/>
      <c r="S14" s="2838"/>
      <c r="T14" s="2837"/>
      <c r="U14" s="2837"/>
      <c r="V14" s="2838"/>
      <c r="W14" s="2837"/>
      <c r="X14" s="2837"/>
      <c r="Y14" s="2837"/>
      <c r="Z14" s="2838"/>
      <c r="AA14" s="2837"/>
      <c r="AB14" s="2837"/>
      <c r="AC14" s="2837"/>
      <c r="AD14" s="2838"/>
      <c r="AE14" s="2841"/>
      <c r="AF14" s="2841"/>
      <c r="AG14" s="2842"/>
      <c r="AH14" s="2841"/>
      <c r="AI14" s="2841"/>
      <c r="AJ14" s="2842"/>
      <c r="AK14" s="2403"/>
      <c r="AL14" s="2404"/>
      <c r="AM14" s="2404"/>
      <c r="AN14" s="2404"/>
      <c r="AO14" s="2404"/>
      <c r="AP14" s="2404"/>
      <c r="AQ14" s="2404"/>
      <c r="AR14" s="2404"/>
      <c r="AS14" s="2404"/>
      <c r="AT14" s="2405"/>
      <c r="AU14" s="171"/>
      <c r="AW14" s="751">
        <f>AW$11</f>
        <v>0</v>
      </c>
      <c r="AX14" s="751" t="str">
        <f>IF(AW14=1,"ボーナス留保分","")</f>
        <v/>
      </c>
      <c r="AY14" s="759"/>
      <c r="AZ14" s="204"/>
      <c r="BA14" s="205"/>
      <c r="BB14" s="749" t="s">
        <v>3650</v>
      </c>
      <c r="BC14" s="872" t="s">
        <v>907</v>
      </c>
      <c r="BD14" s="760">
        <f>ROW(C16)</f>
        <v>16</v>
      </c>
      <c r="BE14" s="760">
        <v>4</v>
      </c>
      <c r="BF14" s="15" t="str">
        <f t="shared" si="8"/>
        <v>106106044</v>
      </c>
      <c r="BG14" s="14"/>
      <c r="BH14" s="93" t="str">
        <f t="shared" si="6"/>
        <v>→</v>
      </c>
      <c r="BI14" s="208">
        <v>10602</v>
      </c>
      <c r="BJ14" s="14">
        <f t="shared" si="7"/>
        <v>0</v>
      </c>
      <c r="BK14" s="760">
        <f>$AZ$11</f>
        <v>0</v>
      </c>
      <c r="BL14" s="2823"/>
      <c r="BM14" s="2815"/>
      <c r="BN14" s="266" t="str">
        <f t="shared" ca="1" si="9"/>
        <v/>
      </c>
      <c r="BO14" s="266" t="str">
        <f t="shared" ca="1" si="9"/>
        <v/>
      </c>
      <c r="BP14" s="389" t="str">
        <f t="shared" ca="1" si="9"/>
        <v/>
      </c>
      <c r="BR14" s="17">
        <v>106</v>
      </c>
      <c r="BT14" s="2" t="s">
        <v>3644</v>
      </c>
      <c r="BX14" s="2" t="s">
        <v>2005</v>
      </c>
      <c r="BZ14" s="583" t="s">
        <v>1349</v>
      </c>
      <c r="CA14" s="584" t="str">
        <f t="shared" si="0"/>
        <v>0524381</v>
      </c>
      <c r="CB14" s="585" t="s">
        <v>656</v>
      </c>
      <c r="CD14" s="108">
        <v>6076</v>
      </c>
      <c r="CE14" s="108" t="s">
        <v>4085</v>
      </c>
      <c r="CF14" s="108">
        <v>6076</v>
      </c>
      <c r="CH14" s="49" t="s">
        <v>941</v>
      </c>
      <c r="CI14" s="49" t="s">
        <v>63</v>
      </c>
      <c r="CJ14" s="49">
        <v>8</v>
      </c>
      <c r="CK14" s="49" t="s">
        <v>216</v>
      </c>
      <c r="CL14" s="49" t="s">
        <v>220</v>
      </c>
      <c r="CM14" s="49"/>
      <c r="CN14" s="49"/>
      <c r="CO14" s="50" t="s">
        <v>581</v>
      </c>
      <c r="CP14" s="51" t="str">
        <f>RIGHT("0000"&amp;AH8,4)&amp;RIGHT("00"&amp;AL8,2)&amp;RIGHT("00"&amp;AP8,2)</f>
        <v>00000000</v>
      </c>
      <c r="CQ14" s="2"/>
      <c r="CR14" s="52" t="s">
        <v>2244</v>
      </c>
      <c r="CS14" s="52">
        <v>937</v>
      </c>
      <c r="CT14" s="53" t="str">
        <f t="shared" si="3"/>
        <v>00000000</v>
      </c>
      <c r="CU14" s="54">
        <f t="shared" si="5"/>
        <v>0</v>
      </c>
      <c r="CV14" s="10">
        <f t="shared" si="1"/>
        <v>0</v>
      </c>
      <c r="CW14" s="1032" t="s">
        <v>5508</v>
      </c>
      <c r="CX14" s="1032"/>
      <c r="CY14" s="1033" t="s">
        <v>5509</v>
      </c>
      <c r="CZ14" s="1034"/>
      <c r="DA14" s="1033"/>
      <c r="DB14" s="71" t="str">
        <f t="shared" si="2"/>
        <v>001</v>
      </c>
      <c r="DC14" s="1035" t="s">
        <v>5513</v>
      </c>
      <c r="DD14" s="72">
        <v>1</v>
      </c>
      <c r="DE14" s="64"/>
      <c r="DF14" s="64"/>
      <c r="DG14" s="64"/>
      <c r="DH14" s="73" t="s">
        <v>891</v>
      </c>
      <c r="DI14" s="105" t="s">
        <v>899</v>
      </c>
      <c r="DJ14" s="38" t="s">
        <v>624</v>
      </c>
      <c r="DK14" s="75" t="str">
        <f t="shared" si="4"/>
        <v>106242YE</v>
      </c>
      <c r="DL14" s="78" t="s">
        <v>3644</v>
      </c>
      <c r="DM14" s="76" t="s">
        <v>921</v>
      </c>
      <c r="DN14" s="104">
        <f>IF(AV22=TRUE,1,0)</f>
        <v>0</v>
      </c>
      <c r="DO14" s="18"/>
      <c r="DP14" s="83" t="s">
        <v>1263</v>
      </c>
      <c r="DQ14" s="83" t="s">
        <v>1130</v>
      </c>
      <c r="DR14" s="83" t="s">
        <v>1112</v>
      </c>
      <c r="DS14" s="83" t="s">
        <v>1264</v>
      </c>
      <c r="DT14" s="50" t="s">
        <v>1131</v>
      </c>
      <c r="DU14" s="227">
        <f>IF(記入シート1!AV96=1,0,IF(記入シート1!AV96=2,1,""))</f>
        <v>0</v>
      </c>
      <c r="DX14" s="85"/>
      <c r="DY14" s="85"/>
    </row>
    <row r="15" spans="1:129" ht="19.5" customHeight="1">
      <c r="A15" s="111"/>
      <c r="B15" s="181"/>
      <c r="C15" s="2183" t="s">
        <v>453</v>
      </c>
      <c r="D15" s="2184"/>
      <c r="E15" s="2184"/>
      <c r="F15" s="2184"/>
      <c r="G15" s="2184"/>
      <c r="H15" s="2184"/>
      <c r="I15" s="2184"/>
      <c r="J15" s="374"/>
      <c r="K15" s="735"/>
      <c r="L15" s="738"/>
      <c r="M15" s="739"/>
      <c r="N15" s="735"/>
      <c r="O15" s="735"/>
      <c r="P15" s="735"/>
      <c r="Q15" s="735"/>
      <c r="R15" s="735"/>
      <c r="S15" s="735"/>
      <c r="T15" s="735"/>
      <c r="U15" s="740"/>
      <c r="V15" s="775"/>
      <c r="W15" s="775"/>
      <c r="X15" s="775"/>
      <c r="Y15" s="775"/>
      <c r="Z15" s="775"/>
      <c r="AA15" s="776"/>
      <c r="AB15" s="776"/>
      <c r="AC15" s="776"/>
      <c r="AD15" s="776"/>
      <c r="AE15" s="776"/>
      <c r="AF15" s="777"/>
      <c r="AG15" s="777"/>
      <c r="AH15" s="777"/>
      <c r="AI15" s="777"/>
      <c r="AJ15" s="777"/>
      <c r="AK15" s="2420" t="s">
        <v>5502</v>
      </c>
      <c r="AL15" s="2421"/>
      <c r="AM15" s="2421"/>
      <c r="AN15" s="2421"/>
      <c r="AO15" s="2422" t="s">
        <v>5837</v>
      </c>
      <c r="AP15" s="2422"/>
      <c r="AQ15" s="2422"/>
      <c r="AR15" s="2422"/>
      <c r="AS15" s="2422"/>
      <c r="AT15" s="2423"/>
      <c r="AU15" s="171"/>
      <c r="AV15" s="531" t="b">
        <f>IF(SUMPRODUCT((AV17:AV19)*1)=0,FALSE,TRUE)</f>
        <v>0</v>
      </c>
      <c r="AW15" s="754">
        <f>IF(OR(AV17=TRUE,AV19=TRUE),1,0)</f>
        <v>0</v>
      </c>
      <c r="AX15" s="748" t="s">
        <v>3640</v>
      </c>
      <c r="AY15" s="755" t="str">
        <f>TEXT(BR15,"000")</f>
        <v>106</v>
      </c>
      <c r="AZ15" s="427">
        <f>AW15</f>
        <v>0</v>
      </c>
      <c r="BA15" s="17" t="str">
        <f>IF(O17="2回入金","92",IF(O17="1回入金","91",IF(O17="早期2回","R2",IF(O17="早期3回","R3",IF(O17="早期4回","R4",IF(O17="早期6回","R6",""))))))</f>
        <v>92</v>
      </c>
      <c r="BB15" s="749" t="s">
        <v>3650</v>
      </c>
      <c r="BC15" s="767" t="s">
        <v>3649</v>
      </c>
      <c r="BD15" s="984">
        <f>ROW(C16)</f>
        <v>16</v>
      </c>
      <c r="BE15" s="984"/>
      <c r="BF15" s="985" t="str">
        <f t="shared" si="8"/>
        <v>10610601</v>
      </c>
      <c r="BG15" s="986"/>
      <c r="BH15" s="987" t="str">
        <f t="shared" si="6"/>
        <v>Master→</v>
      </c>
      <c r="BI15" s="988">
        <v>10602</v>
      </c>
      <c r="BJ15" s="986">
        <f t="shared" si="7"/>
        <v>0</v>
      </c>
      <c r="BK15" s="984">
        <f>$AZ$15</f>
        <v>0</v>
      </c>
      <c r="BL15" s="2823"/>
      <c r="BM15" s="2815"/>
      <c r="BN15" s="989" t="str">
        <f t="shared" ca="1" si="9"/>
        <v/>
      </c>
      <c r="BO15" s="989" t="str">
        <f t="shared" ca="1" si="9"/>
        <v/>
      </c>
      <c r="BP15" s="990" t="str">
        <f t="shared" ca="1" si="9"/>
        <v/>
      </c>
      <c r="BR15" s="17">
        <v>106</v>
      </c>
      <c r="BT15" s="2" t="s">
        <v>3645</v>
      </c>
      <c r="BX15" s="2" t="s">
        <v>2006</v>
      </c>
      <c r="BZ15" s="583" t="s">
        <v>1311</v>
      </c>
      <c r="CA15" s="584" t="str">
        <f t="shared" si="0"/>
        <v>0524934</v>
      </c>
      <c r="CB15" s="585" t="s">
        <v>657</v>
      </c>
      <c r="CD15" s="108">
        <v>6078</v>
      </c>
      <c r="CE15" s="108" t="s">
        <v>4088</v>
      </c>
      <c r="CF15" s="108">
        <v>6078</v>
      </c>
      <c r="CH15" s="59" t="s">
        <v>597</v>
      </c>
      <c r="CI15" s="59"/>
      <c r="CJ15" s="59"/>
      <c r="CK15" s="59"/>
      <c r="CL15" s="59"/>
      <c r="CM15" s="59"/>
      <c r="CN15" s="59"/>
      <c r="CO15" s="10"/>
      <c r="CP15" s="43"/>
      <c r="CQ15" s="10"/>
      <c r="CR15" s="52" t="s">
        <v>2153</v>
      </c>
      <c r="CS15" s="52">
        <v>938</v>
      </c>
      <c r="CT15" s="53" t="str">
        <f t="shared" si="3"/>
        <v>00000000</v>
      </c>
      <c r="CU15" s="54">
        <f t="shared" si="5"/>
        <v>0</v>
      </c>
      <c r="CV15" s="10">
        <f t="shared" si="1"/>
        <v>0</v>
      </c>
      <c r="CW15" s="1032" t="s">
        <v>5814</v>
      </c>
      <c r="CX15" s="1032"/>
      <c r="CY15" s="1033" t="s">
        <v>736</v>
      </c>
      <c r="CZ15" s="1033"/>
      <c r="DA15" s="1033"/>
      <c r="DB15" s="71" t="str">
        <f t="shared" si="2"/>
        <v>001</v>
      </c>
      <c r="DC15" s="1035" t="s">
        <v>5817</v>
      </c>
      <c r="DD15" s="1131">
        <f>IF(AV182=TRUE,1,0)</f>
        <v>0</v>
      </c>
      <c r="DE15" s="64"/>
      <c r="DF15" s="64"/>
      <c r="DG15" s="64"/>
      <c r="DH15" s="73" t="s">
        <v>891</v>
      </c>
      <c r="DI15" s="74" t="s">
        <v>174</v>
      </c>
      <c r="DJ15" s="38" t="s">
        <v>624</v>
      </c>
      <c r="DK15" s="75" t="str">
        <f t="shared" si="4"/>
        <v>106242YF</v>
      </c>
      <c r="DL15" s="78" t="s">
        <v>3644</v>
      </c>
      <c r="DM15" s="76" t="s">
        <v>922</v>
      </c>
      <c r="DN15" s="104">
        <f>IF(AV23=TRUE,1,0)</f>
        <v>0</v>
      </c>
      <c r="DO15" s="18"/>
      <c r="DP15" s="83" t="s">
        <v>1263</v>
      </c>
      <c r="DQ15" s="83" t="s">
        <v>1132</v>
      </c>
      <c r="DR15" s="83" t="s">
        <v>1112</v>
      </c>
      <c r="DS15" s="83" t="s">
        <v>1264</v>
      </c>
      <c r="DT15" s="50" t="s">
        <v>1133</v>
      </c>
      <c r="DU15" s="227">
        <f>IF(記入シート1!AW96=1,0,IF(記入シート1!AW96=2,1,""))</f>
        <v>0</v>
      </c>
      <c r="DX15" s="85"/>
      <c r="DY15" s="85"/>
    </row>
    <row r="16" spans="1:129" ht="19.5" customHeight="1">
      <c r="A16" s="111"/>
      <c r="B16" s="181"/>
      <c r="C16" s="2292" t="s">
        <v>4880</v>
      </c>
      <c r="D16" s="2293"/>
      <c r="E16" s="2293"/>
      <c r="F16" s="2293"/>
      <c r="G16" s="2293"/>
      <c r="H16" s="2293"/>
      <c r="I16" s="2294"/>
      <c r="J16" s="765"/>
      <c r="K16" s="766"/>
      <c r="L16" s="2817" t="s">
        <v>642</v>
      </c>
      <c r="M16" s="2818"/>
      <c r="N16" s="2819"/>
      <c r="O16" s="2797" t="s">
        <v>1071</v>
      </c>
      <c r="P16" s="2798"/>
      <c r="Q16" s="2808">
        <v>0</v>
      </c>
      <c r="R16" s="2809"/>
      <c r="S16" s="2810"/>
      <c r="T16" s="2809">
        <v>0</v>
      </c>
      <c r="U16" s="2809"/>
      <c r="V16" s="2810"/>
      <c r="W16" s="2256">
        <v>0</v>
      </c>
      <c r="X16" s="2256"/>
      <c r="Y16" s="2256"/>
      <c r="Z16" s="2257"/>
      <c r="AA16" s="2255">
        <v>2.7E-2</v>
      </c>
      <c r="AB16" s="2256"/>
      <c r="AC16" s="2256"/>
      <c r="AD16" s="2257"/>
      <c r="AE16" s="2255">
        <v>0</v>
      </c>
      <c r="AF16" s="2256"/>
      <c r="AG16" s="2257"/>
      <c r="AH16" s="2258">
        <v>0</v>
      </c>
      <c r="AI16" s="2259"/>
      <c r="AJ16" s="2260"/>
      <c r="AK16" s="734" t="s">
        <v>5497</v>
      </c>
      <c r="AL16" s="735"/>
      <c r="AM16" s="735"/>
      <c r="AN16" s="735"/>
      <c r="AO16" s="735"/>
      <c r="AP16" s="735"/>
      <c r="AQ16" s="735"/>
      <c r="AR16" s="735"/>
      <c r="AS16" s="735"/>
      <c r="AT16" s="736"/>
      <c r="AU16" s="171"/>
      <c r="AW16" s="751">
        <f>AW$15</f>
        <v>0</v>
      </c>
      <c r="AX16" s="751" t="str">
        <f>IF(AW16=1,"分割・リボ","")</f>
        <v/>
      </c>
      <c r="AY16" s="759"/>
      <c r="AZ16" s="204"/>
      <c r="BA16" s="205"/>
      <c r="BB16" s="749" t="s">
        <v>3650</v>
      </c>
      <c r="BC16" s="767" t="s">
        <v>1984</v>
      </c>
      <c r="BD16" s="984">
        <f>ROW(C16)</f>
        <v>16</v>
      </c>
      <c r="BE16" s="984"/>
      <c r="BF16" s="985" t="str">
        <f t="shared" si="8"/>
        <v>10610602</v>
      </c>
      <c r="BG16" s="986"/>
      <c r="BH16" s="987" t="str">
        <f t="shared" si="6"/>
        <v>→</v>
      </c>
      <c r="BI16" s="988">
        <v>10602</v>
      </c>
      <c r="BJ16" s="986">
        <f t="shared" si="7"/>
        <v>0</v>
      </c>
      <c r="BK16" s="984">
        <f>$AZ$15</f>
        <v>0</v>
      </c>
      <c r="BL16" s="2823"/>
      <c r="BM16" s="2815"/>
      <c r="BN16" s="989" t="str">
        <f t="shared" ca="1" si="9"/>
        <v/>
      </c>
      <c r="BO16" s="989" t="str">
        <f t="shared" ca="1" si="9"/>
        <v/>
      </c>
      <c r="BP16" s="990" t="str">
        <f t="shared" ca="1" si="9"/>
        <v/>
      </c>
      <c r="BR16" s="17">
        <v>106</v>
      </c>
      <c r="BT16" s="2" t="s">
        <v>3646</v>
      </c>
      <c r="BX16" s="2" t="s">
        <v>2007</v>
      </c>
      <c r="BZ16" s="583" t="s">
        <v>1312</v>
      </c>
      <c r="CA16" s="584" t="str">
        <f t="shared" si="0"/>
        <v>0525735</v>
      </c>
      <c r="CB16" s="585" t="s">
        <v>658</v>
      </c>
      <c r="CD16" s="108">
        <v>6079</v>
      </c>
      <c r="CE16" s="108" t="s">
        <v>4086</v>
      </c>
      <c r="CF16" s="108">
        <v>6079</v>
      </c>
      <c r="CH16" s="46" t="s">
        <v>323</v>
      </c>
      <c r="CI16" s="47" t="s">
        <v>586</v>
      </c>
      <c r="CJ16" s="47" t="s">
        <v>321</v>
      </c>
      <c r="CK16" s="46" t="s">
        <v>320</v>
      </c>
      <c r="CL16" s="46" t="s">
        <v>587</v>
      </c>
      <c r="CM16" s="46" t="s">
        <v>326</v>
      </c>
      <c r="CN16" s="46" t="s">
        <v>327</v>
      </c>
      <c r="CO16" s="46" t="s">
        <v>376</v>
      </c>
      <c r="CP16" s="46" t="s">
        <v>328</v>
      </c>
      <c r="CQ16" s="2"/>
      <c r="CR16" s="52" t="s">
        <v>2154</v>
      </c>
      <c r="CS16" s="52">
        <v>939</v>
      </c>
      <c r="CT16" s="53" t="str">
        <f t="shared" si="3"/>
        <v>00000000</v>
      </c>
      <c r="CU16" s="54">
        <f t="shared" si="5"/>
        <v>0</v>
      </c>
      <c r="CV16" s="10">
        <f t="shared" si="1"/>
        <v>0</v>
      </c>
      <c r="CW16" s="1032" t="s">
        <v>5815</v>
      </c>
      <c r="CX16" s="1032"/>
      <c r="CY16" s="1033"/>
      <c r="CZ16" s="1034"/>
      <c r="DA16" s="1033"/>
      <c r="DB16" s="71" t="str">
        <f t="shared" si="2"/>
        <v>001</v>
      </c>
      <c r="DC16" s="1035" t="s">
        <v>5818</v>
      </c>
      <c r="DD16" s="1131" t="str">
        <f>IF(AV182=TRUE,P184,"")</f>
        <v/>
      </c>
      <c r="DE16" s="64"/>
      <c r="DF16" s="64"/>
      <c r="DG16" s="64"/>
      <c r="DH16" s="73" t="s">
        <v>891</v>
      </c>
      <c r="DI16" s="74" t="s">
        <v>900</v>
      </c>
      <c r="DJ16" s="38" t="s">
        <v>904</v>
      </c>
      <c r="DK16" s="75" t="str">
        <f t="shared" si="4"/>
        <v>106242YG</v>
      </c>
      <c r="DL16" s="78" t="s">
        <v>3644</v>
      </c>
      <c r="DM16" s="76" t="s">
        <v>923</v>
      </c>
      <c r="DN16" s="361"/>
      <c r="DO16" s="18"/>
      <c r="DP16" s="83" t="s">
        <v>1263</v>
      </c>
      <c r="DQ16" s="83" t="s">
        <v>1134</v>
      </c>
      <c r="DR16" s="83" t="s">
        <v>1112</v>
      </c>
      <c r="DS16" s="83" t="s">
        <v>1264</v>
      </c>
      <c r="DT16" s="50" t="s">
        <v>1135</v>
      </c>
      <c r="DU16" s="227">
        <f>IF(記入シート1!AX96=1,0,IF(記入シート1!AX96=2,1,""))</f>
        <v>0</v>
      </c>
      <c r="DX16" s="85"/>
      <c r="DY16" s="85"/>
    </row>
    <row r="17" spans="1:129" ht="19.5" customHeight="1">
      <c r="A17" s="111"/>
      <c r="B17" s="181"/>
      <c r="C17" s="2292" t="s">
        <v>4881</v>
      </c>
      <c r="D17" s="2293"/>
      <c r="E17" s="2293"/>
      <c r="F17" s="2293"/>
      <c r="G17" s="2293"/>
      <c r="H17" s="2293"/>
      <c r="I17" s="2294"/>
      <c r="J17" s="737"/>
      <c r="K17" s="737"/>
      <c r="L17" s="2817" t="s">
        <v>642</v>
      </c>
      <c r="M17" s="2818"/>
      <c r="N17" s="2819"/>
      <c r="O17" s="2797" t="s">
        <v>1071</v>
      </c>
      <c r="P17" s="2798"/>
      <c r="Q17" s="2811"/>
      <c r="R17" s="2812"/>
      <c r="S17" s="2813"/>
      <c r="T17" s="2812"/>
      <c r="U17" s="2812"/>
      <c r="V17" s="2813"/>
      <c r="W17" s="2744">
        <v>0</v>
      </c>
      <c r="X17" s="2744"/>
      <c r="Y17" s="2744"/>
      <c r="Z17" s="2745"/>
      <c r="AA17" s="2255">
        <v>2.7E-2</v>
      </c>
      <c r="AB17" s="2256"/>
      <c r="AC17" s="2256"/>
      <c r="AD17" s="2257"/>
      <c r="AE17" s="2255">
        <v>0</v>
      </c>
      <c r="AF17" s="2256"/>
      <c r="AG17" s="2257"/>
      <c r="AH17" s="2258">
        <v>0</v>
      </c>
      <c r="AI17" s="2259"/>
      <c r="AJ17" s="2260"/>
      <c r="AK17" s="2424" t="s">
        <v>5498</v>
      </c>
      <c r="AL17" s="2425"/>
      <c r="AM17" s="2425"/>
      <c r="AN17" s="2425"/>
      <c r="AO17" s="2425"/>
      <c r="AP17" s="111"/>
      <c r="AQ17" s="735"/>
      <c r="AR17" s="735"/>
      <c r="AS17" s="111"/>
      <c r="AT17" s="154"/>
      <c r="AU17" s="171"/>
      <c r="AV17" s="151" t="b">
        <v>0</v>
      </c>
      <c r="AW17" s="751">
        <f>AW$15</f>
        <v>0</v>
      </c>
      <c r="AX17" s="751" t="str">
        <f>IF(AW17=1,"ボーナス","")</f>
        <v/>
      </c>
      <c r="AY17" s="759"/>
      <c r="AZ17" s="204"/>
      <c r="BA17" s="205"/>
      <c r="BB17" s="749" t="s">
        <v>3650</v>
      </c>
      <c r="BC17" s="767" t="s">
        <v>906</v>
      </c>
      <c r="BD17" s="984">
        <f>ROW(C16)</f>
        <v>16</v>
      </c>
      <c r="BE17" s="984"/>
      <c r="BF17" s="985" t="str">
        <f t="shared" si="8"/>
        <v>10610603</v>
      </c>
      <c r="BG17" s="986"/>
      <c r="BH17" s="987" t="str">
        <f t="shared" si="6"/>
        <v>→</v>
      </c>
      <c r="BI17" s="988">
        <v>10602</v>
      </c>
      <c r="BJ17" s="986">
        <f t="shared" si="7"/>
        <v>0</v>
      </c>
      <c r="BK17" s="984">
        <f>$AZ$15</f>
        <v>0</v>
      </c>
      <c r="BL17" s="2823"/>
      <c r="BM17" s="2815"/>
      <c r="BN17" s="989" t="str">
        <f t="shared" ca="1" si="9"/>
        <v/>
      </c>
      <c r="BO17" s="989" t="str">
        <f t="shared" ca="1" si="9"/>
        <v/>
      </c>
      <c r="BP17" s="990" t="str">
        <f t="shared" ca="1" si="9"/>
        <v/>
      </c>
      <c r="BR17" s="17">
        <v>106</v>
      </c>
      <c r="BT17" s="2" t="s">
        <v>3647</v>
      </c>
      <c r="BX17" s="9" t="s">
        <v>2008</v>
      </c>
      <c r="BY17" s="9"/>
      <c r="BZ17" s="583" t="s">
        <v>1313</v>
      </c>
      <c r="CA17" s="584" t="str">
        <f t="shared" si="0"/>
        <v>1202892</v>
      </c>
      <c r="CB17" s="585" t="s">
        <v>1371</v>
      </c>
      <c r="CD17" s="108">
        <v>6080</v>
      </c>
      <c r="CE17" s="108" t="s">
        <v>4087</v>
      </c>
      <c r="CF17" s="108">
        <v>6080</v>
      </c>
      <c r="CH17" s="49" t="s">
        <v>284</v>
      </c>
      <c r="CI17" s="49" t="s">
        <v>22</v>
      </c>
      <c r="CJ17" s="49">
        <v>60</v>
      </c>
      <c r="CK17" s="49" t="s">
        <v>216</v>
      </c>
      <c r="CL17" s="49" t="s">
        <v>90</v>
      </c>
      <c r="CM17" s="49"/>
      <c r="CN17" s="49"/>
      <c r="CO17" s="50" t="s">
        <v>283</v>
      </c>
      <c r="CP17" s="51" t="str">
        <f>ASC(SUBSTITUTE(SUBSTITUTE(記入シート1!I27,"ヴ","ウﾞ"),"・",""))</f>
        <v/>
      </c>
      <c r="CQ17" s="2"/>
      <c r="CR17" s="835" t="s">
        <v>3762</v>
      </c>
      <c r="CS17" s="52">
        <v>940</v>
      </c>
      <c r="CT17" s="53" t="str">
        <f t="shared" si="3"/>
        <v>00000000</v>
      </c>
      <c r="CU17" s="54">
        <f t="shared" si="5"/>
        <v>0</v>
      </c>
      <c r="CV17" s="10">
        <f>SUMIF(AY$11:AY$143,CS17,AZ$11:AZ$143)</f>
        <v>0</v>
      </c>
      <c r="CW17" s="1032" t="s">
        <v>5816</v>
      </c>
      <c r="CX17" s="1032"/>
      <c r="CY17" s="1033"/>
      <c r="CZ17" s="1034"/>
      <c r="DA17" s="1033"/>
      <c r="DB17" s="71" t="str">
        <f t="shared" si="2"/>
        <v>001</v>
      </c>
      <c r="DC17" s="1035" t="s">
        <v>5819</v>
      </c>
      <c r="DD17" s="1131" t="str">
        <f>IF(AV182=TRUE,P185,"")</f>
        <v/>
      </c>
      <c r="DE17" s="64"/>
      <c r="DF17" s="64"/>
      <c r="DG17" s="64"/>
      <c r="DH17" s="435" t="s">
        <v>891</v>
      </c>
      <c r="DI17" s="105" t="s">
        <v>1899</v>
      </c>
      <c r="DJ17" s="728"/>
      <c r="DK17" s="75" t="str">
        <f t="shared" si="4"/>
        <v>106242YH</v>
      </c>
      <c r="DL17" s="78" t="s">
        <v>3644</v>
      </c>
      <c r="DM17" s="76" t="s">
        <v>924</v>
      </c>
      <c r="DN17" s="227">
        <f>AA126</f>
        <v>1</v>
      </c>
      <c r="DO17" s="18"/>
      <c r="DP17" s="83" t="s">
        <v>1263</v>
      </c>
      <c r="DQ17" s="83" t="s">
        <v>1136</v>
      </c>
      <c r="DR17" s="83" t="s">
        <v>1112</v>
      </c>
      <c r="DS17" s="83" t="s">
        <v>1265</v>
      </c>
      <c r="DT17" s="359" t="s">
        <v>1266</v>
      </c>
      <c r="DU17" s="361"/>
      <c r="DX17" s="85"/>
      <c r="DY17" s="85"/>
    </row>
    <row r="18" spans="1:129" ht="19.5" customHeight="1" thickBot="1">
      <c r="A18" s="111"/>
      <c r="B18" s="181"/>
      <c r="C18" s="2322" t="s">
        <v>5020</v>
      </c>
      <c r="D18" s="2323"/>
      <c r="E18" s="2323"/>
      <c r="F18" s="2323"/>
      <c r="G18" s="2323"/>
      <c r="H18" s="2323"/>
      <c r="I18" s="2324"/>
      <c r="J18" s="854"/>
      <c r="K18" s="855"/>
      <c r="L18" s="2799" t="s">
        <v>642</v>
      </c>
      <c r="M18" s="2779"/>
      <c r="N18" s="2780"/>
      <c r="O18" s="2831" t="s">
        <v>1071</v>
      </c>
      <c r="P18" s="2832"/>
      <c r="Q18" s="2811"/>
      <c r="R18" s="2812"/>
      <c r="S18" s="2813"/>
      <c r="T18" s="2812"/>
      <c r="U18" s="2812"/>
      <c r="V18" s="2813"/>
      <c r="W18" s="2742">
        <v>0</v>
      </c>
      <c r="X18" s="2742"/>
      <c r="Y18" s="2742"/>
      <c r="Z18" s="2743"/>
      <c r="AA18" s="2739">
        <v>3.2399999999999998E-2</v>
      </c>
      <c r="AB18" s="2740"/>
      <c r="AC18" s="2740"/>
      <c r="AD18" s="2741"/>
      <c r="AE18" s="2739">
        <v>0</v>
      </c>
      <c r="AF18" s="2740"/>
      <c r="AG18" s="2741"/>
      <c r="AH18" s="2843">
        <v>0</v>
      </c>
      <c r="AI18" s="2844"/>
      <c r="AJ18" s="2845"/>
      <c r="AK18" s="2318" t="s">
        <v>3656</v>
      </c>
      <c r="AL18" s="2319"/>
      <c r="AM18" s="2319"/>
      <c r="AN18" s="2319"/>
      <c r="AO18" s="2319"/>
      <c r="AP18" s="2380" t="s">
        <v>3651</v>
      </c>
      <c r="AQ18" s="2380"/>
      <c r="AR18" s="2380"/>
      <c r="AS18" s="2368" t="s">
        <v>3652</v>
      </c>
      <c r="AT18" s="2369"/>
      <c r="AU18" s="171"/>
      <c r="AV18" s="151" t="b">
        <v>0</v>
      </c>
      <c r="AW18" s="751">
        <f>AW$15</f>
        <v>0</v>
      </c>
      <c r="AX18" s="751" t="str">
        <f>IF(AW18=1,"ボーナス留保分","")</f>
        <v/>
      </c>
      <c r="AY18" s="759"/>
      <c r="AZ18" s="204"/>
      <c r="BA18" s="205"/>
      <c r="BB18" s="749" t="s">
        <v>3650</v>
      </c>
      <c r="BC18" s="767" t="s">
        <v>907</v>
      </c>
      <c r="BD18" s="984">
        <f>ROW(C16)</f>
        <v>16</v>
      </c>
      <c r="BE18" s="984"/>
      <c r="BF18" s="985" t="str">
        <f t="shared" si="8"/>
        <v>10610604</v>
      </c>
      <c r="BG18" s="986"/>
      <c r="BH18" s="987" t="str">
        <f t="shared" si="6"/>
        <v>→</v>
      </c>
      <c r="BI18" s="988">
        <v>10602</v>
      </c>
      <c r="BJ18" s="986">
        <f t="shared" si="7"/>
        <v>0</v>
      </c>
      <c r="BK18" s="984">
        <f>$AZ$15</f>
        <v>0</v>
      </c>
      <c r="BL18" s="2823"/>
      <c r="BM18" s="2815"/>
      <c r="BN18" s="989" t="str">
        <f t="shared" ca="1" si="9"/>
        <v/>
      </c>
      <c r="BO18" s="989" t="str">
        <f t="shared" ca="1" si="9"/>
        <v/>
      </c>
      <c r="BP18" s="990" t="str">
        <f t="shared" ca="1" si="9"/>
        <v/>
      </c>
      <c r="BR18" s="17">
        <v>106</v>
      </c>
      <c r="BT18" s="2" t="s">
        <v>3648</v>
      </c>
      <c r="BX18" s="2" t="s">
        <v>2009</v>
      </c>
      <c r="BZ18" s="583" t="s">
        <v>1350</v>
      </c>
      <c r="CA18" s="584" t="str">
        <f t="shared" si="0"/>
        <v>1202895</v>
      </c>
      <c r="CB18" s="585" t="s">
        <v>659</v>
      </c>
      <c r="CC18" s="11"/>
      <c r="CD18" s="1062"/>
      <c r="CE18" s="1062"/>
      <c r="CF18" s="1062"/>
      <c r="CG18" s="23"/>
      <c r="CH18" s="49" t="s">
        <v>378</v>
      </c>
      <c r="CI18" s="49" t="s">
        <v>21</v>
      </c>
      <c r="CJ18" s="49">
        <v>60</v>
      </c>
      <c r="CK18" s="49" t="s">
        <v>216</v>
      </c>
      <c r="CL18" s="49" t="s">
        <v>90</v>
      </c>
      <c r="CM18" s="49"/>
      <c r="CN18" s="49"/>
      <c r="CO18" s="50" t="s">
        <v>287</v>
      </c>
      <c r="CP18" s="51" t="str">
        <f>T(記入シート1!I28)</f>
        <v/>
      </c>
      <c r="CQ18" s="2"/>
      <c r="CR18" s="52" t="s">
        <v>2156</v>
      </c>
      <c r="CS18" s="52">
        <v>941</v>
      </c>
      <c r="CT18" s="53" t="str">
        <f t="shared" si="3"/>
        <v>00000000</v>
      </c>
      <c r="CU18" s="54">
        <f t="shared" si="5"/>
        <v>0</v>
      </c>
      <c r="CV18" s="10">
        <f t="shared" si="1"/>
        <v>0</v>
      </c>
      <c r="CW18" s="34" t="s">
        <v>281</v>
      </c>
      <c r="CX18" s="34" t="s">
        <v>629</v>
      </c>
      <c r="CY18" s="40" t="s">
        <v>736</v>
      </c>
      <c r="CZ18" s="41" t="s">
        <v>343</v>
      </c>
      <c r="DA18" s="40"/>
      <c r="DB18" s="34" t="str">
        <f t="shared" si="2"/>
        <v>001</v>
      </c>
      <c r="DC18" s="81" t="s">
        <v>282</v>
      </c>
      <c r="DD18" s="96"/>
      <c r="DE18" s="64"/>
      <c r="DF18" s="64"/>
      <c r="DG18" s="64"/>
      <c r="DH18" s="435" t="s">
        <v>891</v>
      </c>
      <c r="DI18" s="501" t="s">
        <v>1900</v>
      </c>
      <c r="DJ18" s="729"/>
      <c r="DK18" s="75" t="str">
        <f t="shared" si="4"/>
        <v>106242YI</v>
      </c>
      <c r="DL18" s="78" t="s">
        <v>3644</v>
      </c>
      <c r="DM18" s="76" t="s">
        <v>925</v>
      </c>
      <c r="DN18" s="227"/>
      <c r="DO18" s="18"/>
      <c r="DP18" s="359" t="s">
        <v>1263</v>
      </c>
      <c r="DQ18" s="359" t="s">
        <v>1137</v>
      </c>
      <c r="DR18" s="359" t="s">
        <v>1258</v>
      </c>
      <c r="DS18" s="359"/>
      <c r="DT18" s="359" t="s">
        <v>1267</v>
      </c>
      <c r="DU18" s="360"/>
      <c r="DX18" s="85"/>
      <c r="DY18" s="85"/>
    </row>
    <row r="19" spans="1:129" ht="19.5" hidden="1" customHeight="1" thickBot="1">
      <c r="A19" s="354" t="s">
        <v>4882</v>
      </c>
      <c r="B19" s="181"/>
      <c r="C19" s="2250"/>
      <c r="D19" s="2251"/>
      <c r="E19" s="2251"/>
      <c r="F19" s="2251"/>
      <c r="G19" s="2251"/>
      <c r="H19" s="2251"/>
      <c r="I19" s="2261"/>
      <c r="J19" s="714"/>
      <c r="K19" s="737"/>
      <c r="L19" s="2800" t="s">
        <v>968</v>
      </c>
      <c r="M19" s="2801"/>
      <c r="N19" s="2802"/>
      <c r="O19" s="2828" t="s">
        <v>1071</v>
      </c>
      <c r="P19" s="2829"/>
      <c r="Q19" s="1103"/>
      <c r="R19" s="1104"/>
      <c r="S19" s="1104"/>
      <c r="T19" s="1105"/>
      <c r="U19" s="1103"/>
      <c r="V19" s="1104"/>
      <c r="W19" s="1104"/>
      <c r="X19" s="1105"/>
      <c r="Y19" s="2347">
        <v>0</v>
      </c>
      <c r="Z19" s="2347"/>
      <c r="AA19" s="2347"/>
      <c r="AB19" s="2347"/>
      <c r="AC19" s="2347">
        <v>0</v>
      </c>
      <c r="AD19" s="2347"/>
      <c r="AE19" s="2347"/>
      <c r="AF19" s="2347"/>
      <c r="AG19" s="2348">
        <v>0</v>
      </c>
      <c r="AH19" s="2348"/>
      <c r="AI19" s="2348"/>
      <c r="AJ19" s="2348"/>
      <c r="AK19" s="2850" t="s">
        <v>875</v>
      </c>
      <c r="AL19" s="2851"/>
      <c r="AM19" s="2851"/>
      <c r="AN19" s="2851"/>
      <c r="AO19" s="2851"/>
      <c r="AP19" s="713" t="s">
        <v>997</v>
      </c>
      <c r="AQ19" s="2820" t="s">
        <v>991</v>
      </c>
      <c r="AR19" s="2820"/>
      <c r="AS19" s="2820"/>
      <c r="AT19" s="2821"/>
      <c r="AU19" s="171"/>
      <c r="AW19" s="756">
        <f>IF(AV18=TRUE,AV18*1,0)</f>
        <v>0</v>
      </c>
      <c r="AX19" s="757" t="s">
        <v>3625</v>
      </c>
      <c r="AY19" s="758" t="str">
        <f>TEXT(BR19,"000")</f>
        <v>106</v>
      </c>
      <c r="AZ19" s="427">
        <f>AW19</f>
        <v>0</v>
      </c>
      <c r="BA19" s="17" t="str">
        <f>IF(O18="2回入金","92",IF(O18="1回入金","91",IF(O18="早期2回","R2",IF(O18="早期3回","R3",IF(O18="早期4回","R4",IF(O18="早期6回","R6",""))))))</f>
        <v>92</v>
      </c>
      <c r="BB19" s="762" t="s">
        <v>3650</v>
      </c>
      <c r="BC19" s="51" t="str">
        <f>IF(AS18="包括","D0607","E0607")</f>
        <v>D0607</v>
      </c>
      <c r="BD19" s="17">
        <f>ROW(C18)</f>
        <v>18</v>
      </c>
      <c r="BE19" s="51" t="s">
        <v>5092</v>
      </c>
      <c r="BF19" s="991" t="str">
        <f>BR19&amp;BC19&amp;BE19</f>
        <v>106D0607JCB</v>
      </c>
      <c r="BG19" s="14"/>
      <c r="BH19" s="93" t="str">
        <f>AX19&amp;"→"</f>
        <v>JCB→</v>
      </c>
      <c r="BI19" s="761">
        <v>10607</v>
      </c>
      <c r="BJ19" s="264">
        <f>IF(L18=$BC$2,1,0)</f>
        <v>1</v>
      </c>
      <c r="BK19" s="17">
        <f>$AZ$19</f>
        <v>0</v>
      </c>
      <c r="BL19" s="2823"/>
      <c r="BM19" s="2815"/>
      <c r="BN19" s="992" t="str">
        <f t="shared" ca="1" si="9"/>
        <v/>
      </c>
      <c r="BO19" s="992" t="str">
        <f t="shared" ca="1" si="9"/>
        <v/>
      </c>
      <c r="BP19" s="993" t="str">
        <f t="shared" ca="1" si="9"/>
        <v/>
      </c>
      <c r="BR19" s="17">
        <v>106</v>
      </c>
      <c r="BX19" s="2" t="s">
        <v>2010</v>
      </c>
      <c r="BZ19" s="583" t="s">
        <v>1351</v>
      </c>
      <c r="CA19" s="584" t="str">
        <f t="shared" si="0"/>
        <v>1203376</v>
      </c>
      <c r="CB19" s="585" t="s">
        <v>660</v>
      </c>
      <c r="CC19" s="11"/>
      <c r="CD19" s="108">
        <v>6082</v>
      </c>
      <c r="CE19" s="108" t="s">
        <v>4093</v>
      </c>
      <c r="CF19" s="108">
        <v>6082</v>
      </c>
      <c r="CG19" s="23"/>
      <c r="CH19" s="49" t="s">
        <v>379</v>
      </c>
      <c r="CI19" s="49" t="s">
        <v>22</v>
      </c>
      <c r="CJ19" s="49">
        <v>255</v>
      </c>
      <c r="CK19" s="49" t="s">
        <v>216</v>
      </c>
      <c r="CL19" s="49" t="s">
        <v>220</v>
      </c>
      <c r="CM19" s="49"/>
      <c r="CN19" s="49"/>
      <c r="CO19" s="50" t="s">
        <v>273</v>
      </c>
      <c r="CP19" s="51" t="str">
        <f>ASC(記入シート1!J34)&amp;" "&amp;ASC(SUBSTITUTE(SUBSTITUTE(SUBSTITUTE(SUBSTITUTE(SUBSTITUTE(記入シート1!O34,"　","")," ",""),"ヴ","ウﾞ"),"・",""),"－","‐"))&amp;" "&amp;ASC(SUBSTITUTE(SUBSTITUTE(SUBSTITUTE(SUBSTITUTE(SUBSTITUTE(記入シート1!W34,"　","")," ",""),"ヴ","ウﾞ"),"・",""),"－","‐"))&amp;" "&amp;ASC(SUBSTITUTE(SUBSTITUTE(SUBSTITUTE(SUBSTITUTE(SUBSTITUTE(記入シート1!AE34,"　","")," ",""),"ヴ","ウﾞ"),"・",""),"－","‐"))&amp;IF(記入シート1!AM34="",""," "&amp;ASC(SUBSTITUTE(SUBSTITUTE(SUBSTITUTE(SUBSTITUTE(SUBSTITUTE(記入シート1!AM34,"　","")," ",""),"ヴ","ウﾞ"),"・",""),"－","‐")))</f>
        <v xml:space="preserve">(自動表示)   </v>
      </c>
      <c r="CQ19" s="2"/>
      <c r="CR19" s="52" t="s">
        <v>2157</v>
      </c>
      <c r="CS19" s="52">
        <v>942</v>
      </c>
      <c r="CT19" s="53" t="str">
        <f t="shared" si="3"/>
        <v>00000000</v>
      </c>
      <c r="CU19" s="54">
        <f t="shared" si="5"/>
        <v>0</v>
      </c>
      <c r="CV19" s="10">
        <f t="shared" si="1"/>
        <v>0</v>
      </c>
      <c r="CW19" s="34" t="s">
        <v>277</v>
      </c>
      <c r="CX19" s="34" t="s">
        <v>629</v>
      </c>
      <c r="CY19" s="40" t="s">
        <v>736</v>
      </c>
      <c r="CZ19" s="41" t="s">
        <v>343</v>
      </c>
      <c r="DA19" s="40"/>
      <c r="DB19" s="34" t="str">
        <f t="shared" si="2"/>
        <v>001</v>
      </c>
      <c r="DC19" s="81" t="s">
        <v>278</v>
      </c>
      <c r="DD19" s="96"/>
      <c r="DE19" s="64"/>
      <c r="DF19" s="64"/>
      <c r="DG19" s="64"/>
      <c r="DH19" s="435" t="s">
        <v>891</v>
      </c>
      <c r="DI19" s="501" t="s">
        <v>1901</v>
      </c>
      <c r="DJ19" s="729" t="s">
        <v>3807</v>
      </c>
      <c r="DK19" s="75" t="str">
        <f t="shared" si="4"/>
        <v>106242YJ</v>
      </c>
      <c r="DL19" s="78" t="s">
        <v>3644</v>
      </c>
      <c r="DM19" s="76" t="s">
        <v>926</v>
      </c>
      <c r="DN19" s="361"/>
      <c r="DO19" s="18"/>
      <c r="DP19" s="359" t="s">
        <v>1263</v>
      </c>
      <c r="DQ19" s="359" t="s">
        <v>1138</v>
      </c>
      <c r="DR19" s="359" t="s">
        <v>1258</v>
      </c>
      <c r="DS19" s="359"/>
      <c r="DT19" s="359" t="s">
        <v>1268</v>
      </c>
      <c r="DU19" s="360"/>
      <c r="DX19" s="85"/>
      <c r="DY19" s="85"/>
    </row>
    <row r="20" spans="1:129" ht="19.5" customHeight="1" thickTop="1">
      <c r="A20" s="111"/>
      <c r="B20" s="181"/>
      <c r="C20" s="1709" t="s">
        <v>5019</v>
      </c>
      <c r="D20" s="2355"/>
      <c r="E20" s="2355"/>
      <c r="F20" s="2355"/>
      <c r="G20" s="2355"/>
      <c r="H20" s="2355"/>
      <c r="I20" s="2355"/>
      <c r="J20" s="2355"/>
      <c r="K20" s="2356"/>
      <c r="L20" s="2792"/>
      <c r="M20" s="2793"/>
      <c r="N20" s="2827" t="s">
        <v>853</v>
      </c>
      <c r="O20" s="2827"/>
      <c r="P20" s="2827"/>
      <c r="Q20" s="2827"/>
      <c r="R20" s="2827"/>
      <c r="S20" s="2827"/>
      <c r="T20" s="2827"/>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6"/>
      <c r="AU20" s="171"/>
      <c r="AV20" s="151" t="b">
        <v>0</v>
      </c>
      <c r="AW20" s="204">
        <f>$AW$19</f>
        <v>0</v>
      </c>
      <c r="AX20" s="751" t="str">
        <f>IF(AW20=1,"分割・リボ","")</f>
        <v/>
      </c>
      <c r="AY20" s="204"/>
      <c r="AZ20" s="204"/>
      <c r="BA20" s="205"/>
      <c r="BB20" s="779" t="s">
        <v>3650</v>
      </c>
      <c r="BC20" s="767"/>
      <c r="BD20" s="205">
        <f>ROW(C18)</f>
        <v>18</v>
      </c>
      <c r="BE20" s="205"/>
      <c r="BF20" s="206" t="str">
        <f t="shared" si="8"/>
        <v>106</v>
      </c>
      <c r="BG20" s="207"/>
      <c r="BH20" s="93" t="str">
        <f>AX20&amp;"→"</f>
        <v>→</v>
      </c>
      <c r="BI20" s="761">
        <v>10607</v>
      </c>
      <c r="BJ20" s="14">
        <f>AW20</f>
        <v>0</v>
      </c>
      <c r="BK20" s="17">
        <f>$AZ$19</f>
        <v>0</v>
      </c>
      <c r="BL20" s="2823"/>
      <c r="BM20" s="2815"/>
      <c r="BN20" s="266" t="str">
        <f t="shared" ca="1" si="9"/>
        <v/>
      </c>
      <c r="BO20" s="266" t="str">
        <f t="shared" ca="1" si="9"/>
        <v/>
      </c>
      <c r="BP20" s="389" t="str">
        <f t="shared" ca="1" si="9"/>
        <v/>
      </c>
      <c r="BR20" s="17">
        <v>106</v>
      </c>
      <c r="BX20" s="2" t="s">
        <v>2011</v>
      </c>
      <c r="BZ20" s="583" t="s">
        <v>1314</v>
      </c>
      <c r="CA20" s="584" t="str">
        <f t="shared" si="0"/>
        <v>1203405</v>
      </c>
      <c r="CB20" s="585" t="s">
        <v>1372</v>
      </c>
      <c r="CD20" s="108">
        <v>6084</v>
      </c>
      <c r="CE20" s="108" t="s">
        <v>5100</v>
      </c>
      <c r="CF20" s="108">
        <v>6084</v>
      </c>
      <c r="CG20" s="23"/>
      <c r="CH20" s="49" t="s">
        <v>280</v>
      </c>
      <c r="CI20" s="49" t="s">
        <v>22</v>
      </c>
      <c r="CJ20" s="49">
        <v>8</v>
      </c>
      <c r="CK20" s="49" t="s">
        <v>216</v>
      </c>
      <c r="CL20" s="49" t="s">
        <v>220</v>
      </c>
      <c r="CM20" s="49"/>
      <c r="CN20" s="49"/>
      <c r="CO20" s="50" t="s">
        <v>279</v>
      </c>
      <c r="CP20" s="51" t="str">
        <f>ASC(記入シート1!J35&amp;"-"&amp;記入シート1!M35)</f>
        <v>-</v>
      </c>
      <c r="CQ20" s="2"/>
      <c r="CR20" s="52" t="s">
        <v>3775</v>
      </c>
      <c r="CS20" s="52">
        <v>943</v>
      </c>
      <c r="CT20" s="53" t="str">
        <f t="shared" si="3"/>
        <v>00000000</v>
      </c>
      <c r="CU20" s="54">
        <f t="shared" si="5"/>
        <v>0</v>
      </c>
      <c r="CV20" s="10">
        <f t="shared" si="1"/>
        <v>0</v>
      </c>
      <c r="CW20" s="34" t="s">
        <v>274</v>
      </c>
      <c r="CX20" s="34" t="s">
        <v>629</v>
      </c>
      <c r="CY20" s="40" t="s">
        <v>736</v>
      </c>
      <c r="CZ20" s="41" t="s">
        <v>343</v>
      </c>
      <c r="DA20" s="40"/>
      <c r="DB20" s="34" t="str">
        <f t="shared" si="2"/>
        <v>001</v>
      </c>
      <c r="DC20" s="81" t="s">
        <v>275</v>
      </c>
      <c r="DD20" s="96"/>
      <c r="DE20" s="64"/>
      <c r="DF20" s="64"/>
      <c r="DG20" s="64"/>
      <c r="DH20" s="435" t="s">
        <v>891</v>
      </c>
      <c r="DI20" s="105" t="s">
        <v>1902</v>
      </c>
      <c r="DJ20" s="728" t="s">
        <v>3807</v>
      </c>
      <c r="DK20" s="75" t="str">
        <f t="shared" si="4"/>
        <v>106242YK</v>
      </c>
      <c r="DL20" s="78" t="s">
        <v>3644</v>
      </c>
      <c r="DM20" s="76" t="s">
        <v>927</v>
      </c>
      <c r="DN20" s="361"/>
      <c r="DO20" s="18"/>
      <c r="DP20" s="83" t="s">
        <v>1269</v>
      </c>
      <c r="DQ20" s="83" t="s">
        <v>1139</v>
      </c>
      <c r="DR20" s="83" t="s">
        <v>1112</v>
      </c>
      <c r="DS20" s="83" t="s">
        <v>1270</v>
      </c>
      <c r="DT20" s="359" t="s">
        <v>1271</v>
      </c>
      <c r="DU20" s="361"/>
      <c r="DX20" s="85"/>
      <c r="DY20" s="85"/>
    </row>
    <row r="21" spans="1:129" ht="19.5" customHeight="1">
      <c r="A21" s="111"/>
      <c r="B21" s="181"/>
      <c r="C21" s="2357"/>
      <c r="D21" s="2358"/>
      <c r="E21" s="2358"/>
      <c r="F21" s="2358"/>
      <c r="G21" s="2358"/>
      <c r="H21" s="2358"/>
      <c r="I21" s="2358"/>
      <c r="J21" s="2358"/>
      <c r="K21" s="2359"/>
      <c r="L21" s="2795"/>
      <c r="M21" s="2272"/>
      <c r="N21" s="2298" t="s">
        <v>854</v>
      </c>
      <c r="O21" s="2298"/>
      <c r="P21" s="2298"/>
      <c r="Q21" s="2298"/>
      <c r="R21" s="2298"/>
      <c r="S21" s="2298"/>
      <c r="T21" s="2298"/>
      <c r="U21" s="2830" t="s">
        <v>857</v>
      </c>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366"/>
      <c r="AU21" s="171"/>
      <c r="AV21" s="151" t="b">
        <v>0</v>
      </c>
      <c r="AW21" s="204">
        <f>$AW$19</f>
        <v>0</v>
      </c>
      <c r="AX21" s="751" t="str">
        <f>IF(AW21=1,"ボーナス","")</f>
        <v/>
      </c>
      <c r="AY21" s="204"/>
      <c r="AZ21" s="204"/>
      <c r="BA21" s="205"/>
      <c r="BB21" s="779" t="s">
        <v>3650</v>
      </c>
      <c r="BC21" s="767"/>
      <c r="BD21" s="205">
        <f>ROW(C18)</f>
        <v>18</v>
      </c>
      <c r="BE21" s="205"/>
      <c r="BF21" s="206" t="str">
        <f t="shared" si="8"/>
        <v>106</v>
      </c>
      <c r="BG21" s="207"/>
      <c r="BH21" s="93" t="str">
        <f>AX21&amp;"→"</f>
        <v>→</v>
      </c>
      <c r="BI21" s="761">
        <v>10607</v>
      </c>
      <c r="BJ21" s="14">
        <f>AW21</f>
        <v>0</v>
      </c>
      <c r="BK21" s="17">
        <f>$AZ$19</f>
        <v>0</v>
      </c>
      <c r="BL21" s="2823"/>
      <c r="BM21" s="2815"/>
      <c r="BN21" s="266" t="str">
        <f t="shared" ca="1" si="9"/>
        <v/>
      </c>
      <c r="BO21" s="266" t="str">
        <f t="shared" ca="1" si="9"/>
        <v/>
      </c>
      <c r="BP21" s="389" t="str">
        <f t="shared" ca="1" si="9"/>
        <v/>
      </c>
      <c r="BR21" s="17">
        <v>106</v>
      </c>
      <c r="BX21" s="2" t="s">
        <v>2012</v>
      </c>
      <c r="BZ21" s="583" t="s">
        <v>1352</v>
      </c>
      <c r="CA21" s="584" t="str">
        <f t="shared" si="0"/>
        <v>1203713</v>
      </c>
      <c r="CB21" s="585" t="s">
        <v>661</v>
      </c>
      <c r="CD21" s="108">
        <v>6085</v>
      </c>
      <c r="CE21" s="108" t="s">
        <v>5101</v>
      </c>
      <c r="CF21" s="108">
        <v>6085</v>
      </c>
      <c r="CG21" s="23"/>
      <c r="CH21" s="49" t="s">
        <v>384</v>
      </c>
      <c r="CI21" s="49" t="s">
        <v>21</v>
      </c>
      <c r="CJ21" s="49">
        <v>255</v>
      </c>
      <c r="CK21" s="49" t="s">
        <v>216</v>
      </c>
      <c r="CL21" s="49" t="s">
        <v>385</v>
      </c>
      <c r="CM21" s="49"/>
      <c r="CN21" s="49"/>
      <c r="CO21" s="50" t="s">
        <v>276</v>
      </c>
      <c r="CP21" s="51"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2"/>
      <c r="CR21" s="52" t="s">
        <v>3772</v>
      </c>
      <c r="CS21" s="52">
        <v>944</v>
      </c>
      <c r="CT21" s="53" t="str">
        <f t="shared" si="3"/>
        <v>00000000</v>
      </c>
      <c r="CU21" s="54">
        <f>IF(CV21&gt;0,1,0)</f>
        <v>0</v>
      </c>
      <c r="CV21" s="10">
        <f t="shared" si="1"/>
        <v>0</v>
      </c>
      <c r="CW21" s="34" t="s">
        <v>271</v>
      </c>
      <c r="CX21" s="34" t="s">
        <v>712</v>
      </c>
      <c r="CY21" s="40" t="s">
        <v>736</v>
      </c>
      <c r="CZ21" s="41" t="s">
        <v>343</v>
      </c>
      <c r="DA21" s="40"/>
      <c r="DB21" s="34" t="str">
        <f t="shared" si="2"/>
        <v>001</v>
      </c>
      <c r="DC21" s="81" t="s">
        <v>272</v>
      </c>
      <c r="DD21" s="96"/>
      <c r="DE21" s="64"/>
      <c r="DF21" s="64"/>
      <c r="DG21" s="64"/>
      <c r="DH21" s="435" t="s">
        <v>891</v>
      </c>
      <c r="DI21" s="105" t="s">
        <v>901</v>
      </c>
      <c r="DJ21" s="38"/>
      <c r="DK21" s="75" t="str">
        <f t="shared" si="4"/>
        <v>106242YL</v>
      </c>
      <c r="DL21" s="78" t="s">
        <v>3644</v>
      </c>
      <c r="DM21" s="76" t="s">
        <v>933</v>
      </c>
      <c r="DN21" s="227" t="str">
        <f>ASC(AA133)</f>
        <v>0</v>
      </c>
      <c r="DO21" s="18"/>
      <c r="DP21" s="83" t="s">
        <v>1269</v>
      </c>
      <c r="DQ21" s="83" t="s">
        <v>1140</v>
      </c>
      <c r="DR21" s="83" t="s">
        <v>1112</v>
      </c>
      <c r="DS21" s="83" t="s">
        <v>1272</v>
      </c>
      <c r="DT21" s="50" t="s">
        <v>1141</v>
      </c>
      <c r="DU21" s="227">
        <v>1</v>
      </c>
      <c r="DV21" s="23"/>
      <c r="DX21" s="85"/>
      <c r="DY21" s="85"/>
    </row>
    <row r="22" spans="1:129" ht="19.5" customHeight="1">
      <c r="A22" s="111"/>
      <c r="B22" s="181"/>
      <c r="C22" s="2357"/>
      <c r="D22" s="2358"/>
      <c r="E22" s="2358"/>
      <c r="F22" s="2358"/>
      <c r="G22" s="2358"/>
      <c r="H22" s="2358"/>
      <c r="I22" s="2358"/>
      <c r="J22" s="2358"/>
      <c r="K22" s="2359"/>
      <c r="L22" s="2795"/>
      <c r="M22" s="2272"/>
      <c r="N22" s="2298" t="s">
        <v>855</v>
      </c>
      <c r="O22" s="2298"/>
      <c r="P22" s="2298"/>
      <c r="Q22" s="2298"/>
      <c r="R22" s="2298"/>
      <c r="S22" s="2298"/>
      <c r="T22" s="2298"/>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366"/>
      <c r="AU22" s="171"/>
      <c r="AV22" s="151" t="b">
        <v>0</v>
      </c>
      <c r="AW22" s="204">
        <f>$AW$19</f>
        <v>0</v>
      </c>
      <c r="AX22" s="751" t="str">
        <f>IF(AW22=1,"ボーナス留保分","")</f>
        <v/>
      </c>
      <c r="AY22" s="204"/>
      <c r="AZ22" s="204"/>
      <c r="BA22" s="205"/>
      <c r="BB22" s="779" t="s">
        <v>3650</v>
      </c>
      <c r="BC22" s="767"/>
      <c r="BD22" s="205">
        <f>ROW(C18)</f>
        <v>18</v>
      </c>
      <c r="BE22" s="205"/>
      <c r="BF22" s="206" t="str">
        <f t="shared" si="8"/>
        <v>106</v>
      </c>
      <c r="BG22" s="207"/>
      <c r="BH22" s="93" t="str">
        <f>AX22&amp;"→"</f>
        <v>→</v>
      </c>
      <c r="BI22" s="761">
        <v>10607</v>
      </c>
      <c r="BJ22" s="14">
        <f>AW22</f>
        <v>0</v>
      </c>
      <c r="BK22" s="17">
        <f>$AZ$19</f>
        <v>0</v>
      </c>
      <c r="BL22" s="2823"/>
      <c r="BM22" s="2815"/>
      <c r="BN22" s="266" t="str">
        <f t="shared" ca="1" si="9"/>
        <v/>
      </c>
      <c r="BO22" s="266" t="str">
        <f t="shared" ca="1" si="9"/>
        <v/>
      </c>
      <c r="BP22" s="389" t="str">
        <f t="shared" ca="1" si="9"/>
        <v/>
      </c>
      <c r="BR22" s="17">
        <v>106</v>
      </c>
      <c r="BX22" s="2" t="s">
        <v>2013</v>
      </c>
      <c r="BZ22" s="583" t="s">
        <v>1353</v>
      </c>
      <c r="CA22" s="584" t="str">
        <f t="shared" si="0"/>
        <v>1203747</v>
      </c>
      <c r="CB22" s="585" t="s">
        <v>662</v>
      </c>
      <c r="CD22" s="108">
        <v>6086</v>
      </c>
      <c r="CE22" s="108" t="s">
        <v>5102</v>
      </c>
      <c r="CF22" s="108">
        <v>6086</v>
      </c>
      <c r="CG22" s="23"/>
      <c r="CH22" s="49" t="s">
        <v>386</v>
      </c>
      <c r="CI22" s="49" t="s">
        <v>22</v>
      </c>
      <c r="CJ22" s="49">
        <v>15</v>
      </c>
      <c r="CK22" s="49" t="s">
        <v>216</v>
      </c>
      <c r="CL22" s="49" t="s">
        <v>387</v>
      </c>
      <c r="CM22" s="49"/>
      <c r="CN22" s="49"/>
      <c r="CO22" s="50" t="s">
        <v>270</v>
      </c>
      <c r="CP22" s="51" t="str">
        <f>ASC(記入シート1!I38)&amp;"-"&amp;ASC(記入シート1!O38)&amp;"-"&amp;ASC(記入シート1!T38)</f>
        <v>--</v>
      </c>
      <c r="CQ22" s="2"/>
      <c r="CR22" s="52" t="s">
        <v>3777</v>
      </c>
      <c r="CS22" s="52">
        <v>112</v>
      </c>
      <c r="CT22" s="53" t="str">
        <f t="shared" si="3"/>
        <v>00000000</v>
      </c>
      <c r="CU22" s="54">
        <f>IF(CV22&gt;0,1,0)</f>
        <v>0</v>
      </c>
      <c r="CV22" s="10">
        <f t="shared" si="1"/>
        <v>0</v>
      </c>
      <c r="CW22" s="34" t="s">
        <v>268</v>
      </c>
      <c r="CX22" s="34" t="s">
        <v>712</v>
      </c>
      <c r="CY22" s="103"/>
      <c r="CZ22" s="40" t="s">
        <v>359</v>
      </c>
      <c r="DA22" s="103" t="s">
        <v>752</v>
      </c>
      <c r="DB22" s="34" t="str">
        <f t="shared" si="2"/>
        <v>001</v>
      </c>
      <c r="DC22" s="81" t="s">
        <v>269</v>
      </c>
      <c r="DD22" s="96"/>
      <c r="DE22" s="64"/>
      <c r="DF22" s="64"/>
      <c r="DG22" s="64"/>
      <c r="DH22" s="435" t="s">
        <v>891</v>
      </c>
      <c r="DI22" s="105" t="s">
        <v>902</v>
      </c>
      <c r="DJ22" s="38"/>
      <c r="DK22" s="75" t="str">
        <f t="shared" si="4"/>
        <v>106242YM</v>
      </c>
      <c r="DL22" s="78" t="s">
        <v>3644</v>
      </c>
      <c r="DM22" s="76" t="s">
        <v>934</v>
      </c>
      <c r="DN22" s="227" t="str">
        <f>ASC(AE147)</f>
        <v>78800</v>
      </c>
      <c r="DO22" s="18"/>
      <c r="DP22" s="83" t="s">
        <v>1269</v>
      </c>
      <c r="DQ22" s="83" t="s">
        <v>1142</v>
      </c>
      <c r="DR22" s="83" t="s">
        <v>1273</v>
      </c>
      <c r="DS22" s="83" t="s">
        <v>1274</v>
      </c>
      <c r="DT22" s="359" t="s">
        <v>1275</v>
      </c>
      <c r="DU22" s="360"/>
      <c r="DV22" s="23"/>
      <c r="DX22" s="85"/>
      <c r="DY22" s="85"/>
    </row>
    <row r="23" spans="1:129" ht="19.5" customHeight="1" thickBot="1">
      <c r="A23" s="111"/>
      <c r="B23" s="181"/>
      <c r="C23" s="2360"/>
      <c r="D23" s="2361"/>
      <c r="E23" s="2361"/>
      <c r="F23" s="2361"/>
      <c r="G23" s="2361"/>
      <c r="H23" s="2361"/>
      <c r="I23" s="2361"/>
      <c r="J23" s="2361"/>
      <c r="K23" s="2362"/>
      <c r="L23" s="2350"/>
      <c r="M23" s="2794"/>
      <c r="N23" s="2352" t="s">
        <v>856</v>
      </c>
      <c r="O23" s="2352"/>
      <c r="P23" s="2352"/>
      <c r="Q23" s="2352"/>
      <c r="R23" s="2352"/>
      <c r="S23" s="2352"/>
      <c r="T23" s="2352"/>
      <c r="U23" s="2353" t="s">
        <v>944</v>
      </c>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c r="AS23" s="2353"/>
      <c r="AT23" s="2354"/>
      <c r="AU23" s="171"/>
      <c r="AV23" s="151" t="b">
        <v>0</v>
      </c>
      <c r="AW23" s="746">
        <f>IF(AV17=TRUE,AV17*1,0)</f>
        <v>0</v>
      </c>
      <c r="AX23" s="750" t="s">
        <v>938</v>
      </c>
      <c r="AY23" s="758" t="str">
        <f>TEXT(BR23,"000")</f>
        <v>106</v>
      </c>
      <c r="AZ23" s="751">
        <f>AW23</f>
        <v>0</v>
      </c>
      <c r="BA23" s="17" t="str">
        <f>IF(O19="2回入金","92",IF(O19="1回入金","91",IF(O19="早期2回","R2",IF(O19="早期3回","R3",IF(O19="早期4回","R4",IF(O19="早期6回","R6",""))))))</f>
        <v>92</v>
      </c>
      <c r="BB23" s="749" t="s">
        <v>3650</v>
      </c>
      <c r="BC23" s="825" t="s">
        <v>910</v>
      </c>
      <c r="BD23" s="994">
        <f>ROW(C17)</f>
        <v>17</v>
      </c>
      <c r="BE23" s="17">
        <v>5</v>
      </c>
      <c r="BF23" s="15" t="str">
        <f>BR23&amp;BC23&amp;BE23</f>
        <v>106106055</v>
      </c>
      <c r="BG23" s="14"/>
      <c r="BH23" s="93" t="str">
        <f>AX23&amp;"→"</f>
        <v>銀聯→</v>
      </c>
      <c r="BI23" s="372">
        <v>10602</v>
      </c>
      <c r="BJ23" s="14">
        <f>AW23</f>
        <v>0</v>
      </c>
      <c r="BK23" s="14">
        <f>AW23</f>
        <v>0</v>
      </c>
      <c r="BL23" s="2824"/>
      <c r="BM23" s="2816"/>
      <c r="BN23" s="1109" t="str">
        <f ca="1">IF($AW23=0,"",IF(AV9="OK",INDIRECT(ADDRESS($BD23,23)),INDIRECT(ADDRESS($BD23,BN$10))))</f>
        <v/>
      </c>
      <c r="BO23" s="266" t="str">
        <f t="shared" ca="1" si="9"/>
        <v/>
      </c>
      <c r="BP23" s="389" t="str">
        <f t="shared" ca="1" si="9"/>
        <v/>
      </c>
      <c r="BR23" s="17">
        <v>106</v>
      </c>
      <c r="BX23" s="2" t="s">
        <v>2014</v>
      </c>
      <c r="BZ23" s="583" t="s">
        <v>1315</v>
      </c>
      <c r="CA23" s="584" t="str">
        <f t="shared" si="0"/>
        <v>1203748</v>
      </c>
      <c r="CB23" s="585" t="s">
        <v>663</v>
      </c>
      <c r="CD23" s="1062"/>
      <c r="CE23" s="1062"/>
      <c r="CF23" s="1062"/>
      <c r="CG23" s="23"/>
      <c r="CH23" s="49" t="s">
        <v>388</v>
      </c>
      <c r="CI23" s="49" t="s">
        <v>22</v>
      </c>
      <c r="CJ23" s="49">
        <v>15</v>
      </c>
      <c r="CK23" s="49" t="s">
        <v>216</v>
      </c>
      <c r="CL23" s="49" t="s">
        <v>362</v>
      </c>
      <c r="CM23" s="49"/>
      <c r="CN23" s="49" t="s">
        <v>600</v>
      </c>
      <c r="CO23" s="50" t="s">
        <v>267</v>
      </c>
      <c r="CP23" s="51" t="str">
        <f>IF(OR(記入シート1!AE38="",記入シート1!AK38="",記入シート1!AP38=""),"00-0000-0000",ASC(記入シート1!AE38)&amp;"-"&amp;ASC(記入シート1!AK38)&amp;"-"&amp;ASC(記入シート1!AP38))</f>
        <v>00-0000-0000</v>
      </c>
      <c r="CQ23" s="2"/>
      <c r="CR23" s="52" t="s">
        <v>5099</v>
      </c>
      <c r="CS23" s="52">
        <v>945</v>
      </c>
      <c r="CT23" s="53" t="str">
        <f t="shared" si="3"/>
        <v>00000000</v>
      </c>
      <c r="CU23" s="54">
        <f>IF(CV23&gt;0,1,0)</f>
        <v>0</v>
      </c>
      <c r="CV23" s="10">
        <f t="shared" si="1"/>
        <v>0</v>
      </c>
      <c r="CW23" s="34" t="s">
        <v>718</v>
      </c>
      <c r="CX23" s="34"/>
      <c r="CY23" s="95"/>
      <c r="CZ23" s="220"/>
      <c r="DA23" s="95"/>
      <c r="DB23" s="34" t="str">
        <f t="shared" si="2"/>
        <v>001</v>
      </c>
      <c r="DC23" s="81" t="s">
        <v>266</v>
      </c>
      <c r="DD23" s="96"/>
      <c r="DE23" s="64"/>
      <c r="DF23" s="64"/>
      <c r="DG23" s="64"/>
      <c r="DH23" s="435" t="s">
        <v>891</v>
      </c>
      <c r="DI23" s="105" t="s">
        <v>903</v>
      </c>
      <c r="DJ23" s="105" t="s">
        <v>905</v>
      </c>
      <c r="DK23" s="75" t="str">
        <f t="shared" si="4"/>
        <v>106242YN</v>
      </c>
      <c r="DL23" s="78" t="s">
        <v>3644</v>
      </c>
      <c r="DM23" s="76" t="s">
        <v>939</v>
      </c>
      <c r="DN23" s="227" t="str">
        <f>ASC(AV150)</f>
        <v>0</v>
      </c>
      <c r="DO23" s="18"/>
      <c r="DP23" s="83" t="s">
        <v>1269</v>
      </c>
      <c r="DQ23" s="83" t="s">
        <v>1143</v>
      </c>
      <c r="DR23" s="83" t="s">
        <v>1112</v>
      </c>
      <c r="DS23" s="83" t="s">
        <v>1276</v>
      </c>
      <c r="DT23" s="359" t="s">
        <v>1277</v>
      </c>
      <c r="DU23" s="361"/>
      <c r="DV23" s="23"/>
      <c r="DX23" s="85"/>
      <c r="DY23" s="85"/>
    </row>
    <row r="24" spans="1:129" ht="19.5" hidden="1" customHeight="1">
      <c r="A24" s="354" t="s">
        <v>3653</v>
      </c>
      <c r="B24" s="181"/>
      <c r="C24" s="770"/>
      <c r="D24" s="770"/>
      <c r="E24" s="770"/>
      <c r="F24" s="770"/>
      <c r="G24" s="770"/>
      <c r="H24" s="770"/>
      <c r="I24" s="770"/>
      <c r="J24" s="770"/>
      <c r="K24" s="770"/>
      <c r="L24" s="701"/>
      <c r="M24" s="382"/>
      <c r="N24" s="383"/>
      <c r="O24" s="383"/>
      <c r="P24" s="383"/>
      <c r="Q24" s="383"/>
      <c r="R24" s="383"/>
      <c r="S24" s="383"/>
      <c r="T24" s="383"/>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171"/>
      <c r="AV24" s="20">
        <f>IF(OR(AV20=TRUE,AV21=TRUE,AV22=TRUE,AV23=TRUE),1,0)</f>
        <v>0</v>
      </c>
      <c r="BX24" s="2" t="s">
        <v>2015</v>
      </c>
      <c r="BZ24" s="583" t="s">
        <v>1354</v>
      </c>
      <c r="CA24" s="584" t="str">
        <f t="shared" si="0"/>
        <v>1203976</v>
      </c>
      <c r="CB24" s="585" t="s">
        <v>664</v>
      </c>
      <c r="CD24" s="1062"/>
      <c r="CE24" s="1062"/>
      <c r="CF24" s="1062"/>
      <c r="CG24" s="23"/>
      <c r="CH24" s="49" t="s">
        <v>265</v>
      </c>
      <c r="CI24" s="49" t="s">
        <v>63</v>
      </c>
      <c r="CJ24" s="49">
        <v>8</v>
      </c>
      <c r="CK24" s="49" t="s">
        <v>216</v>
      </c>
      <c r="CL24" s="49" t="s">
        <v>90</v>
      </c>
      <c r="CM24" s="49"/>
      <c r="CN24" s="49"/>
      <c r="CO24" s="50" t="s">
        <v>264</v>
      </c>
      <c r="CP24" s="51" t="str">
        <f>RIGHT("0000"&amp;記入シート1!K39,4)&amp;RIGHT("00"&amp;記入シート1!N39,2)&amp;RIGHT("00"&amp;記入シート1!Q39,2)</f>
        <v>00000000</v>
      </c>
      <c r="CQ24" s="2"/>
      <c r="CR24" s="835" t="s">
        <v>5715</v>
      </c>
      <c r="CS24" s="835">
        <v>949</v>
      </c>
      <c r="CT24" s="53" t="str">
        <f t="shared" si="3"/>
        <v>00000000</v>
      </c>
      <c r="CU24" s="54">
        <f>IF(CV24&gt;0,1,0)</f>
        <v>0</v>
      </c>
      <c r="CV24" s="10">
        <f t="shared" si="1"/>
        <v>0</v>
      </c>
      <c r="CW24" s="34" t="s">
        <v>262</v>
      </c>
      <c r="CX24" s="34" t="s">
        <v>706</v>
      </c>
      <c r="CY24" s="40"/>
      <c r="CZ24" s="95" t="s">
        <v>359</v>
      </c>
      <c r="DA24" s="40" t="s">
        <v>707</v>
      </c>
      <c r="DB24" s="34" t="str">
        <f t="shared" si="2"/>
        <v>001</v>
      </c>
      <c r="DC24" s="81" t="s">
        <v>263</v>
      </c>
      <c r="DD24" s="96"/>
      <c r="DE24" s="64"/>
      <c r="DF24" s="64"/>
      <c r="DG24" s="64"/>
      <c r="DH24" s="435" t="s">
        <v>891</v>
      </c>
      <c r="DI24" s="436" t="s">
        <v>1002</v>
      </c>
      <c r="DJ24" s="269"/>
      <c r="DK24" s="75" t="str">
        <f t="shared" si="4"/>
        <v>106242YP</v>
      </c>
      <c r="DL24" s="78" t="s">
        <v>3644</v>
      </c>
      <c r="DM24" s="78" t="s">
        <v>1004</v>
      </c>
      <c r="DN24" s="438" t="str">
        <f>IF(AV96=TRUE,L99&amp;O99,"-")</f>
        <v>-</v>
      </c>
      <c r="DO24" s="18"/>
      <c r="DP24" s="83" t="s">
        <v>1269</v>
      </c>
      <c r="DQ24" s="83" t="s">
        <v>1144</v>
      </c>
      <c r="DR24" s="83" t="s">
        <v>1252</v>
      </c>
      <c r="DS24" s="83" t="s">
        <v>1278</v>
      </c>
      <c r="DT24" s="359" t="s">
        <v>1110</v>
      </c>
      <c r="DU24" s="361"/>
      <c r="DV24" s="23"/>
      <c r="DX24" s="85"/>
      <c r="DY24" s="85"/>
    </row>
    <row r="25" spans="1:129" ht="19.5" customHeight="1" thickBot="1">
      <c r="A25" s="111"/>
      <c r="B25" s="181"/>
      <c r="C25" s="771"/>
      <c r="D25" s="929" t="str">
        <f>IF(AND(AV30=TRUE,AN30="楽天",AS30="包括"),IF(【楽天Edy用記入シート】業種シート!H5=1,"　【楽天Edy用記入シート】チェックシート　のご入力が必要です。","　【楽天Edy用記入シート】業種シート から業種をご選択ください。"),"")</f>
        <v/>
      </c>
      <c r="E25" s="771"/>
      <c r="F25" s="771"/>
      <c r="G25" s="771"/>
      <c r="H25" s="771"/>
      <c r="I25" s="771"/>
      <c r="J25" s="852"/>
      <c r="K25" s="771"/>
      <c r="M25" s="923"/>
      <c r="N25" s="924"/>
      <c r="O25" s="924"/>
      <c r="P25" s="924"/>
      <c r="Q25" s="924"/>
      <c r="R25" s="924"/>
      <c r="S25" s="926" t="str">
        <f>IF(AND(OR(AND(AV29=TRUE,AN29="JCB",AS29="包括"),AND(AV30=TRUE,AN30="JCB",AS30="包括"),AND(AV32=TRUE,AN33="JCB",AS33="包括"),AND(AV33=TRUE,AN34="JCB",AS34="包括"),AND(AV34=TRUE,AN35="JCB",AS35="包括")),AV18=FALSE),"※JCBクレジットカードのお申し込みが必要です。","")</f>
        <v/>
      </c>
      <c r="T25" s="924"/>
      <c r="U25" s="925"/>
      <c r="V25" s="925"/>
      <c r="W25" s="925"/>
      <c r="X25" s="925"/>
      <c r="Z25" s="925"/>
      <c r="AA25" s="925"/>
      <c r="AB25" s="925"/>
      <c r="AD25" s="927"/>
      <c r="AE25" s="927"/>
      <c r="AF25" s="930" t="str">
        <f>IF(OR(AND(AV31=TRUE,AN31="イオン",AS31="包括"),AND(AV32=TRUE,AN33="イオン",AS33="包括")),IF(【iD・WAON用記入シート】業種シート!G5=0,"※【iD・WAON用記入シート】業種シート　のご入力が必要です。",""),"")</f>
        <v/>
      </c>
      <c r="AG25" s="927"/>
      <c r="AH25" s="927"/>
      <c r="AI25" s="927"/>
      <c r="AJ25" s="927"/>
      <c r="AK25" s="927"/>
      <c r="AL25" s="927"/>
      <c r="AM25" s="927"/>
      <c r="AN25" s="927"/>
      <c r="AO25" s="927"/>
      <c r="AP25" s="927"/>
      <c r="AQ25" s="927"/>
      <c r="AR25" s="927"/>
      <c r="AS25" s="927"/>
      <c r="AT25" s="925"/>
      <c r="AU25" s="171"/>
      <c r="AV25" s="499" t="str">
        <f ca="1">IF(AND(AV30=TRUE,AN30="楽天",AS30="包括",OR(AW25=0,AX25="NG")),"NG","OK")</f>
        <v>OK</v>
      </c>
      <c r="AW25" s="744">
        <f ca="1">【楽天Edy用記入シート】業種シート!G4</f>
        <v>0</v>
      </c>
      <c r="AX25" s="499" t="str">
        <f>IF(AND(【楽天Edy用記入シート】業種シート!H5=1,【楽天Edy用記入シート】業種シート!H4&gt;0),"NG","OK")</f>
        <v>OK</v>
      </c>
      <c r="AY25" s="253"/>
      <c r="BZ25" s="583" t="s">
        <v>1316</v>
      </c>
      <c r="CA25" s="584" t="str">
        <f t="shared" si="0"/>
        <v>1204164</v>
      </c>
      <c r="CB25" s="585" t="s">
        <v>665</v>
      </c>
      <c r="CD25" s="1062"/>
      <c r="CE25" s="1062"/>
      <c r="CF25" s="1062"/>
      <c r="CG25" s="23"/>
      <c r="CH25" s="49" t="s">
        <v>261</v>
      </c>
      <c r="CI25" s="49" t="s">
        <v>19</v>
      </c>
      <c r="CJ25" s="49">
        <v>13</v>
      </c>
      <c r="CK25" s="49" t="s">
        <v>216</v>
      </c>
      <c r="CL25" s="49" t="s">
        <v>389</v>
      </c>
      <c r="CM25" s="49"/>
      <c r="CN25" s="49"/>
      <c r="CO25" s="50" t="s">
        <v>260</v>
      </c>
      <c r="CP25" s="51">
        <f>記入シート1!AA39*10000</f>
        <v>0</v>
      </c>
      <c r="CQ25" s="2"/>
      <c r="CR25" s="52"/>
      <c r="CS25" s="52"/>
      <c r="CT25" s="52"/>
      <c r="CU25" s="52"/>
      <c r="CV25" s="10">
        <f t="shared" si="1"/>
        <v>0</v>
      </c>
      <c r="CW25" s="34" t="s">
        <v>258</v>
      </c>
      <c r="CX25" s="34" t="s">
        <v>706</v>
      </c>
      <c r="CY25" s="95"/>
      <c r="CZ25" s="95" t="s">
        <v>359</v>
      </c>
      <c r="DA25" s="95" t="s">
        <v>628</v>
      </c>
      <c r="DB25" s="34" t="str">
        <f t="shared" si="2"/>
        <v>001</v>
      </c>
      <c r="DC25" s="81" t="s">
        <v>259</v>
      </c>
      <c r="DD25" s="96"/>
      <c r="DE25" s="64"/>
      <c r="DF25" s="64"/>
      <c r="DG25" s="64"/>
      <c r="DH25" s="435" t="s">
        <v>891</v>
      </c>
      <c r="DI25" s="436" t="s">
        <v>1003</v>
      </c>
      <c r="DJ25" s="269"/>
      <c r="DK25" s="75" t="str">
        <f t="shared" si="4"/>
        <v>106242YQ</v>
      </c>
      <c r="DL25" s="78" t="s">
        <v>3644</v>
      </c>
      <c r="DM25" s="78" t="s">
        <v>1005</v>
      </c>
      <c r="DN25" s="438" t="str">
        <f>IF(AV97=TRUE,L100&amp;O100,"-")</f>
        <v>-</v>
      </c>
      <c r="DO25" s="18"/>
      <c r="DP25" s="362" t="s">
        <v>1269</v>
      </c>
      <c r="DQ25" s="362" t="s">
        <v>1145</v>
      </c>
      <c r="DR25" s="362" t="s">
        <v>1112</v>
      </c>
      <c r="DS25" s="83" t="s">
        <v>1276</v>
      </c>
      <c r="DT25" s="363" t="s">
        <v>1279</v>
      </c>
      <c r="DU25" s="364"/>
      <c r="DV25" s="23"/>
      <c r="DX25" s="85"/>
      <c r="DY25" s="85"/>
    </row>
    <row r="26" spans="1:129" ht="19.5" customHeight="1" thickTop="1">
      <c r="A26" s="111"/>
      <c r="B26" s="181"/>
      <c r="C26" s="1228" t="s">
        <v>449</v>
      </c>
      <c r="D26" s="1229"/>
      <c r="E26" s="1229"/>
      <c r="F26" s="1229"/>
      <c r="G26" s="1229"/>
      <c r="H26" s="1229"/>
      <c r="I26" s="1230"/>
      <c r="J26" s="1280" t="s">
        <v>845</v>
      </c>
      <c r="K26" s="2191"/>
      <c r="L26" s="2193" t="s">
        <v>846</v>
      </c>
      <c r="M26" s="2194"/>
      <c r="N26" s="2195"/>
      <c r="O26" s="2199" t="s">
        <v>1059</v>
      </c>
      <c r="P26" s="2200"/>
      <c r="Q26" s="2199" t="s">
        <v>2053</v>
      </c>
      <c r="R26" s="2203"/>
      <c r="S26" s="2203"/>
      <c r="T26" s="2200"/>
      <c r="U26" s="2199" t="s">
        <v>2054</v>
      </c>
      <c r="V26" s="2203"/>
      <c r="W26" s="2203"/>
      <c r="X26" s="2200"/>
      <c r="Y26" s="2199" t="s">
        <v>2055</v>
      </c>
      <c r="Z26" s="2203"/>
      <c r="AA26" s="2203"/>
      <c r="AB26" s="2200"/>
      <c r="AC26" s="2199" t="s">
        <v>2056</v>
      </c>
      <c r="AD26" s="2203"/>
      <c r="AE26" s="2203"/>
      <c r="AF26" s="2200"/>
      <c r="AG26" s="2199" t="s">
        <v>2057</v>
      </c>
      <c r="AH26" s="2203"/>
      <c r="AI26" s="2203"/>
      <c r="AJ26" s="2200"/>
      <c r="AK26" s="2177" t="s">
        <v>3850</v>
      </c>
      <c r="AL26" s="2178"/>
      <c r="AM26" s="2178"/>
      <c r="AN26" s="2178"/>
      <c r="AO26" s="2178"/>
      <c r="AP26" s="2178"/>
      <c r="AQ26" s="2178"/>
      <c r="AR26" s="2178"/>
      <c r="AS26" s="2178"/>
      <c r="AT26" s="2179"/>
      <c r="AU26" s="171"/>
      <c r="AV26" s="20" t="s">
        <v>789</v>
      </c>
      <c r="AW26" s="20" t="s">
        <v>2169</v>
      </c>
      <c r="AY26" s="253" t="s">
        <v>7</v>
      </c>
      <c r="AZ26" s="253" t="s">
        <v>454</v>
      </c>
      <c r="BA26" s="10" t="s">
        <v>908</v>
      </c>
      <c r="BB26" s="10" t="s">
        <v>0</v>
      </c>
      <c r="BC26" s="10" t="s">
        <v>455</v>
      </c>
      <c r="BD26" s="10" t="s">
        <v>975</v>
      </c>
      <c r="BE26" s="10"/>
      <c r="BF26" s="10"/>
      <c r="BG26" s="10"/>
      <c r="BH26" s="10"/>
      <c r="BI26" s="10" t="s">
        <v>456</v>
      </c>
      <c r="BJ26" s="10" t="s">
        <v>457</v>
      </c>
      <c r="BK26" s="10" t="s">
        <v>458</v>
      </c>
      <c r="BL26" s="10" t="s">
        <v>973</v>
      </c>
      <c r="BM26" s="10" t="s">
        <v>974</v>
      </c>
      <c r="BN26" s="10" t="s">
        <v>459</v>
      </c>
      <c r="BO26" s="10" t="s">
        <v>460</v>
      </c>
      <c r="BP26" s="10" t="s">
        <v>461</v>
      </c>
      <c r="BQ26" s="10"/>
      <c r="BR26" s="10" t="s">
        <v>7</v>
      </c>
      <c r="BZ26" s="583" t="s">
        <v>1317</v>
      </c>
      <c r="CA26" s="584" t="str">
        <f t="shared" si="0"/>
        <v>1205880</v>
      </c>
      <c r="CB26" s="585" t="s">
        <v>666</v>
      </c>
      <c r="CD26" s="1062"/>
      <c r="CE26" s="1062"/>
      <c r="CF26" s="1062"/>
      <c r="CG26" s="23"/>
      <c r="CH26" s="49" t="s">
        <v>257</v>
      </c>
      <c r="CI26" s="49" t="s">
        <v>19</v>
      </c>
      <c r="CJ26" s="49">
        <v>13</v>
      </c>
      <c r="CK26" s="49" t="s">
        <v>216</v>
      </c>
      <c r="CL26" s="49" t="s">
        <v>389</v>
      </c>
      <c r="CM26" s="49"/>
      <c r="CN26" s="49" t="s">
        <v>601</v>
      </c>
      <c r="CO26" s="50" t="s">
        <v>256</v>
      </c>
      <c r="CP26" s="51">
        <f>記入シート1!AN39*10000</f>
        <v>0</v>
      </c>
      <c r="CQ26" s="2"/>
      <c r="CR26" s="52"/>
      <c r="CS26" s="52"/>
      <c r="CT26" s="52"/>
      <c r="CU26" s="52"/>
      <c r="CV26" s="10">
        <f t="shared" si="1"/>
        <v>0</v>
      </c>
      <c r="CW26" s="34" t="s">
        <v>719</v>
      </c>
      <c r="CX26" s="34"/>
      <c r="CY26" s="95"/>
      <c r="CZ26" s="220"/>
      <c r="DA26" s="95"/>
      <c r="DB26" s="34" t="str">
        <f t="shared" si="2"/>
        <v>001</v>
      </c>
      <c r="DC26" s="81" t="s">
        <v>255</v>
      </c>
      <c r="DD26" s="96"/>
      <c r="DE26" s="64"/>
      <c r="DF26" s="64"/>
      <c r="DG26" s="64"/>
      <c r="DH26" s="435" t="s">
        <v>891</v>
      </c>
      <c r="DI26" s="436" t="s">
        <v>1054</v>
      </c>
      <c r="DJ26" s="269"/>
      <c r="DK26" s="75" t="str">
        <f t="shared" si="4"/>
        <v>106242YR</v>
      </c>
      <c r="DL26" s="78" t="s">
        <v>3644</v>
      </c>
      <c r="DM26" s="78" t="s">
        <v>1056</v>
      </c>
      <c r="DN26" s="227">
        <f>AP148</f>
        <v>11013</v>
      </c>
      <c r="DO26" s="18"/>
      <c r="DP26" s="83" t="s">
        <v>1269</v>
      </c>
      <c r="DQ26" s="83" t="s">
        <v>1146</v>
      </c>
      <c r="DR26" s="83" t="s">
        <v>1252</v>
      </c>
      <c r="DS26" s="83" t="s">
        <v>1278</v>
      </c>
      <c r="DT26" s="359" t="s">
        <v>1280</v>
      </c>
      <c r="DU26" s="361"/>
      <c r="DV26" s="23"/>
      <c r="DX26" s="85"/>
      <c r="DY26" s="85"/>
    </row>
    <row r="27" spans="1:129" ht="19.5" customHeight="1">
      <c r="A27" s="354"/>
      <c r="B27" s="181"/>
      <c r="C27" s="1242"/>
      <c r="D27" s="1243"/>
      <c r="E27" s="1243"/>
      <c r="F27" s="1243"/>
      <c r="G27" s="1243"/>
      <c r="H27" s="1243"/>
      <c r="I27" s="1244"/>
      <c r="J27" s="1281"/>
      <c r="K27" s="2192"/>
      <c r="L27" s="2196"/>
      <c r="M27" s="2197"/>
      <c r="N27" s="2198"/>
      <c r="O27" s="2201"/>
      <c r="P27" s="2202"/>
      <c r="Q27" s="2201"/>
      <c r="R27" s="2204"/>
      <c r="S27" s="2204"/>
      <c r="T27" s="2202"/>
      <c r="U27" s="2201"/>
      <c r="V27" s="2204"/>
      <c r="W27" s="2204"/>
      <c r="X27" s="2202"/>
      <c r="Y27" s="2201"/>
      <c r="Z27" s="2204"/>
      <c r="AA27" s="2204"/>
      <c r="AB27" s="2202"/>
      <c r="AC27" s="2201"/>
      <c r="AD27" s="2204"/>
      <c r="AE27" s="2204"/>
      <c r="AF27" s="2202"/>
      <c r="AG27" s="2201"/>
      <c r="AH27" s="2204"/>
      <c r="AI27" s="2204"/>
      <c r="AJ27" s="2202"/>
      <c r="AK27" s="2180"/>
      <c r="AL27" s="2181"/>
      <c r="AM27" s="2181"/>
      <c r="AN27" s="2181"/>
      <c r="AO27" s="2181"/>
      <c r="AP27" s="2181"/>
      <c r="AQ27" s="2181"/>
      <c r="AR27" s="2181"/>
      <c r="AS27" s="2181"/>
      <c r="AT27" s="2182"/>
      <c r="AU27" s="171"/>
      <c r="AV27" s="20"/>
      <c r="AW27" s="427">
        <f>AV29*1</f>
        <v>0</v>
      </c>
      <c r="AX27" s="427" t="s">
        <v>3813</v>
      </c>
      <c r="AY27" s="427" t="str">
        <f>TEXT(BR27,"000")</f>
        <v>107</v>
      </c>
      <c r="AZ27" s="427">
        <f>AW27</f>
        <v>0</v>
      </c>
      <c r="BA27" s="390" t="str">
        <f>IF(O29="2回入金","92",IF(O29="1回入金","91",""))</f>
        <v>92</v>
      </c>
      <c r="BB27" s="428" t="str">
        <f>AZ3</f>
        <v>14</v>
      </c>
      <c r="BC27" s="428" t="s">
        <v>1895</v>
      </c>
      <c r="BD27" s="390">
        <f>ROW(C29)</f>
        <v>29</v>
      </c>
      <c r="BE27" s="390">
        <v>1</v>
      </c>
      <c r="BF27" s="15" t="str">
        <f>BR27&amp;BC27&amp;BE27</f>
        <v>107107011</v>
      </c>
      <c r="BG27" s="429"/>
      <c r="BH27" s="390"/>
      <c r="BI27" s="841" t="str">
        <f>VLOOKUP(DN45,BV2:BW4,2,FALSE)</f>
        <v>10701</v>
      </c>
      <c r="BJ27" s="83">
        <f>IF(L29=$BC$2,1,0)</f>
        <v>1</v>
      </c>
      <c r="BK27" s="390">
        <f>AZ27</f>
        <v>0</v>
      </c>
      <c r="BL27" s="2287" t="str">
        <f ca="1">IF($AW27=0,"",INDIRECT(ADDRESS($BD27,BL$8)))</f>
        <v/>
      </c>
      <c r="BM27" s="2287" t="str">
        <f ca="1">IF($AW27=0,"",INDIRECT(ADDRESS($BD27,BM$8)))</f>
        <v/>
      </c>
      <c r="BN27" s="430" t="str">
        <f ca="1">IF($AW27=0,"",INDIRECT(ADDRESS($BD27,BN$8)))</f>
        <v/>
      </c>
      <c r="BO27" s="430" t="str">
        <f ca="1">IF($AW27=0,"",INDIRECT(ADDRESS($BD27,BO$8)))</f>
        <v/>
      </c>
      <c r="BP27" s="388" t="str">
        <f ca="1">IF($AW27=0,"",INDIRECT(ADDRESS($BD27,BP$8)))</f>
        <v/>
      </c>
      <c r="BQ27" s="431"/>
      <c r="BR27" s="83">
        <v>107</v>
      </c>
      <c r="BZ27" s="583" t="s">
        <v>1355</v>
      </c>
      <c r="CA27" s="584" t="str">
        <f t="shared" si="0"/>
        <v>1205979</v>
      </c>
      <c r="CB27" s="585" t="s">
        <v>667</v>
      </c>
      <c r="CD27" s="1062"/>
      <c r="CE27" s="1062"/>
      <c r="CF27" s="1062"/>
      <c r="CG27" s="23"/>
      <c r="CH27" s="49" t="s">
        <v>391</v>
      </c>
      <c r="CI27" s="49" t="s">
        <v>21</v>
      </c>
      <c r="CJ27" s="49">
        <v>255</v>
      </c>
      <c r="CK27" s="49" t="s">
        <v>216</v>
      </c>
      <c r="CL27" s="49" t="s">
        <v>392</v>
      </c>
      <c r="CM27" s="49"/>
      <c r="CN27" s="49"/>
      <c r="CO27" s="50" t="s">
        <v>254</v>
      </c>
      <c r="CP27" s="51" t="str">
        <f>LEFT(SUBSTITUTE(記入シート1!I40,CHAR(10),"　"),255)</f>
        <v/>
      </c>
      <c r="CQ27" s="2"/>
      <c r="CR27" s="52"/>
      <c r="CS27" s="52"/>
      <c r="CT27" s="52"/>
      <c r="CU27" s="212"/>
      <c r="CV27" s="10">
        <f t="shared" si="1"/>
        <v>0</v>
      </c>
      <c r="CW27" s="34" t="s">
        <v>252</v>
      </c>
      <c r="CX27" s="34" t="s">
        <v>708</v>
      </c>
      <c r="CY27" s="40" t="s">
        <v>737</v>
      </c>
      <c r="CZ27" s="41" t="s">
        <v>349</v>
      </c>
      <c r="DA27" s="221"/>
      <c r="DB27" s="34" t="str">
        <f t="shared" si="2"/>
        <v>001</v>
      </c>
      <c r="DC27" s="81" t="s">
        <v>253</v>
      </c>
      <c r="DD27" s="96"/>
      <c r="DE27" s="64"/>
      <c r="DF27" s="64"/>
      <c r="DG27" s="64"/>
      <c r="DH27" s="435" t="s">
        <v>891</v>
      </c>
      <c r="DI27" s="436" t="s">
        <v>1905</v>
      </c>
      <c r="DJ27" s="436" t="s">
        <v>1903</v>
      </c>
      <c r="DK27" s="75" t="str">
        <f t="shared" si="4"/>
        <v>106242YS</v>
      </c>
      <c r="DL27" s="78" t="s">
        <v>3644</v>
      </c>
      <c r="DM27" s="78" t="s">
        <v>1934</v>
      </c>
      <c r="DN27" s="438" t="str">
        <f>IF(記入シート1!AV69=TRUE,記入シート1!AV36,記入シート1!AV72)</f>
        <v>00</v>
      </c>
      <c r="DO27" s="18"/>
      <c r="DP27" s="83" t="s">
        <v>1269</v>
      </c>
      <c r="DQ27" s="83" t="s">
        <v>1147</v>
      </c>
      <c r="DR27" s="83" t="s">
        <v>1112</v>
      </c>
      <c r="DS27" s="83" t="s">
        <v>1276</v>
      </c>
      <c r="DT27" s="359" t="s">
        <v>1111</v>
      </c>
      <c r="DU27" s="361"/>
      <c r="DV27" s="23"/>
      <c r="DX27" s="85"/>
      <c r="DY27" s="85"/>
    </row>
    <row r="28" spans="1:129" ht="19.5" customHeight="1">
      <c r="A28" s="111"/>
      <c r="B28" s="181"/>
      <c r="C28" s="2281" t="s">
        <v>1400</v>
      </c>
      <c r="D28" s="2282"/>
      <c r="E28" s="2282"/>
      <c r="F28" s="2282"/>
      <c r="G28" s="2282"/>
      <c r="H28" s="2282"/>
      <c r="I28" s="2282"/>
      <c r="J28" s="378"/>
      <c r="K28" s="378"/>
      <c r="L28" s="774"/>
      <c r="M28" s="739"/>
      <c r="N28" s="735"/>
      <c r="O28" s="735"/>
      <c r="P28" s="735"/>
      <c r="Q28" s="735"/>
      <c r="R28" s="735"/>
      <c r="S28" s="735"/>
      <c r="T28" s="735"/>
      <c r="U28" s="740"/>
      <c r="V28" s="775"/>
      <c r="W28" s="775"/>
      <c r="X28" s="775"/>
      <c r="Y28" s="775"/>
      <c r="Z28" s="775"/>
      <c r="AA28" s="776"/>
      <c r="AB28" s="776"/>
      <c r="AC28" s="776"/>
      <c r="AD28" s="776"/>
      <c r="AE28" s="776"/>
      <c r="AF28" s="777"/>
      <c r="AG28" s="777"/>
      <c r="AH28" s="777"/>
      <c r="AI28" s="777"/>
      <c r="AJ28" s="777"/>
      <c r="AK28" s="777"/>
      <c r="AL28" s="777"/>
      <c r="AM28" s="777"/>
      <c r="AN28" s="777"/>
      <c r="AO28" s="777"/>
      <c r="AP28" s="777"/>
      <c r="AQ28" s="777"/>
      <c r="AR28" s="777"/>
      <c r="AS28" s="777"/>
      <c r="AT28" s="778"/>
      <c r="AU28" s="171"/>
      <c r="AV28" s="745" t="b">
        <f>IF(SUMPRODUCT((AV29:AV34)*1)=0,FALSE,TRUE)</f>
        <v>0</v>
      </c>
      <c r="AW28" s="387">
        <f>AW27</f>
        <v>0</v>
      </c>
      <c r="AX28" s="387" t="s">
        <v>3814</v>
      </c>
      <c r="AY28" s="387"/>
      <c r="AZ28" s="387"/>
      <c r="BA28" s="83"/>
      <c r="BB28" s="83"/>
      <c r="BC28" s="84" t="s">
        <v>1896</v>
      </c>
      <c r="BD28" s="390">
        <f>BD27</f>
        <v>29</v>
      </c>
      <c r="BE28" s="83">
        <v>2</v>
      </c>
      <c r="BF28" s="15" t="str">
        <f>BR28&amp;BC28&amp;BE28</f>
        <v>107107022</v>
      </c>
      <c r="BG28" s="83"/>
      <c r="BH28" s="83"/>
      <c r="BI28" s="842" t="str">
        <f>BI27</f>
        <v>10701</v>
      </c>
      <c r="BJ28" s="83">
        <f>IF(L29=$BC$2,1,0)</f>
        <v>1</v>
      </c>
      <c r="BK28" s="83">
        <f>AZ27</f>
        <v>0</v>
      </c>
      <c r="BL28" s="2288"/>
      <c r="BM28" s="2288"/>
      <c r="BN28" s="391" t="str">
        <f t="shared" ref="BN28:BP38" ca="1" si="10">IF($AW28=0,"",INDIRECT(ADDRESS($BD28,BN$8)))</f>
        <v/>
      </c>
      <c r="BO28" s="391" t="str">
        <f t="shared" ca="1" si="10"/>
        <v/>
      </c>
      <c r="BP28" s="388" t="str">
        <f t="shared" ca="1" si="10"/>
        <v/>
      </c>
      <c r="BQ28" s="431"/>
      <c r="BR28" s="83">
        <v>107</v>
      </c>
      <c r="BZ28" s="583" t="s">
        <v>1356</v>
      </c>
      <c r="CA28" s="584" t="str">
        <f t="shared" si="0"/>
        <v>1205998</v>
      </c>
      <c r="CB28" s="585" t="s">
        <v>668</v>
      </c>
      <c r="CD28" s="1062"/>
      <c r="CE28" s="1062"/>
      <c r="CF28" s="1062"/>
      <c r="CG28" s="23"/>
      <c r="CH28" s="49" t="s">
        <v>251</v>
      </c>
      <c r="CI28" s="49" t="s">
        <v>22</v>
      </c>
      <c r="CJ28" s="49">
        <v>128</v>
      </c>
      <c r="CK28" s="49" t="s">
        <v>216</v>
      </c>
      <c r="CL28" s="49" t="s">
        <v>90</v>
      </c>
      <c r="CM28" s="49"/>
      <c r="CN28" s="49"/>
      <c r="CO28" s="50" t="s">
        <v>250</v>
      </c>
      <c r="CP28" s="51" t="str">
        <f>ASC(記入シート1!I42)</f>
        <v/>
      </c>
      <c r="CQ28" s="2"/>
      <c r="CR28" s="52"/>
      <c r="CS28" s="52"/>
      <c r="CT28" s="52"/>
      <c r="CU28" s="212"/>
      <c r="CV28" s="10">
        <f t="shared" si="1"/>
        <v>0</v>
      </c>
      <c r="CW28" s="34" t="s">
        <v>720</v>
      </c>
      <c r="CX28" s="34"/>
      <c r="CY28" s="40"/>
      <c r="CZ28" s="41"/>
      <c r="DA28" s="40"/>
      <c r="DB28" s="34" t="str">
        <f t="shared" si="2"/>
        <v>001</v>
      </c>
      <c r="DC28" s="81" t="s">
        <v>249</v>
      </c>
      <c r="DD28" s="96"/>
      <c r="DE28" s="64"/>
      <c r="DF28" s="64"/>
      <c r="DG28" s="64"/>
      <c r="DH28" s="435" t="s">
        <v>891</v>
      </c>
      <c r="DI28" s="436" t="s">
        <v>1904</v>
      </c>
      <c r="DJ28" s="436" t="s">
        <v>1906</v>
      </c>
      <c r="DK28" s="75" t="str">
        <f t="shared" si="4"/>
        <v>106242YT</v>
      </c>
      <c r="DL28" s="78" t="s">
        <v>3644</v>
      </c>
      <c r="DM28" s="78" t="s">
        <v>1935</v>
      </c>
      <c r="DN28" s="438" t="str">
        <f>ASC(記入シート1!AW88)</f>
        <v>3</v>
      </c>
      <c r="DO28" s="29"/>
      <c r="DP28" s="83" t="s">
        <v>1269</v>
      </c>
      <c r="DQ28" s="83" t="s">
        <v>1148</v>
      </c>
      <c r="DR28" s="83" t="s">
        <v>1252</v>
      </c>
      <c r="DS28" s="83" t="s">
        <v>1278</v>
      </c>
      <c r="DT28" s="359" t="s">
        <v>1281</v>
      </c>
      <c r="DU28" s="361"/>
      <c r="DV28" s="23"/>
      <c r="DX28" s="85"/>
      <c r="DY28" s="85"/>
    </row>
    <row r="29" spans="1:129" ht="19.5" customHeight="1">
      <c r="A29" s="111"/>
      <c r="B29" s="181"/>
      <c r="C29" s="1876" t="s">
        <v>1949</v>
      </c>
      <c r="D29" s="1948"/>
      <c r="E29" s="1948"/>
      <c r="F29" s="1948"/>
      <c r="G29" s="1948"/>
      <c r="H29" s="1948"/>
      <c r="I29" s="1948"/>
      <c r="J29" s="1948"/>
      <c r="K29" s="2349"/>
      <c r="L29" s="2748" t="s">
        <v>642</v>
      </c>
      <c r="M29" s="2407"/>
      <c r="N29" s="2408"/>
      <c r="O29" s="2747" t="s">
        <v>1071</v>
      </c>
      <c r="P29" s="2747"/>
      <c r="Q29" s="2746">
        <v>0</v>
      </c>
      <c r="R29" s="2746"/>
      <c r="S29" s="2746"/>
      <c r="T29" s="2746"/>
      <c r="U29" s="2746">
        <v>0</v>
      </c>
      <c r="V29" s="2746"/>
      <c r="W29" s="2746"/>
      <c r="X29" s="2746"/>
      <c r="Y29" s="2301">
        <v>2.9000000000000001E-2</v>
      </c>
      <c r="Z29" s="2301"/>
      <c r="AA29" s="2301"/>
      <c r="AB29" s="2301"/>
      <c r="AC29" s="2301">
        <v>0</v>
      </c>
      <c r="AD29" s="2301"/>
      <c r="AE29" s="2301"/>
      <c r="AF29" s="2301"/>
      <c r="AG29" s="2300">
        <v>0</v>
      </c>
      <c r="AH29" s="2300"/>
      <c r="AI29" s="2300"/>
      <c r="AJ29" s="2300"/>
      <c r="AK29" s="2314" t="s">
        <v>5516</v>
      </c>
      <c r="AL29" s="2315"/>
      <c r="AM29" s="2315"/>
      <c r="AN29" s="2279" t="s">
        <v>3625</v>
      </c>
      <c r="AO29" s="2279"/>
      <c r="AP29" s="2308" t="s">
        <v>5126</v>
      </c>
      <c r="AQ29" s="2308"/>
      <c r="AR29" s="2308"/>
      <c r="AS29" s="2309" t="s">
        <v>3652</v>
      </c>
      <c r="AT29" s="2310"/>
      <c r="AU29" s="171"/>
      <c r="AV29" s="386" t="b">
        <v>0</v>
      </c>
      <c r="AW29" s="432">
        <f>AV30*1</f>
        <v>0</v>
      </c>
      <c r="AX29" s="432" t="s">
        <v>3815</v>
      </c>
      <c r="AY29" s="432" t="str">
        <f>TEXT(BR29,"000")</f>
        <v>108</v>
      </c>
      <c r="AZ29" s="432">
        <f>AW29</f>
        <v>0</v>
      </c>
      <c r="BA29" s="390" t="str">
        <f>IF(O30="2回入金","92",IF(O30="1回入金","91",""))</f>
        <v>92</v>
      </c>
      <c r="BB29" s="433" t="str">
        <f>AZ3</f>
        <v>14</v>
      </c>
      <c r="BC29" s="433" t="s">
        <v>1897</v>
      </c>
      <c r="BD29" s="390">
        <f>ROW(C30)</f>
        <v>30</v>
      </c>
      <c r="BE29" s="431">
        <v>1</v>
      </c>
      <c r="BF29" s="15" t="str">
        <f>BR29&amp;BC29&amp;BE29</f>
        <v>108108011</v>
      </c>
      <c r="BG29" s="434"/>
      <c r="BH29" s="431"/>
      <c r="BI29" s="83">
        <v>10801</v>
      </c>
      <c r="BJ29" s="83">
        <f>IF(L30=$BC$2,1,0)</f>
        <v>1</v>
      </c>
      <c r="BK29" s="431">
        <f>AZ29</f>
        <v>0</v>
      </c>
      <c r="BL29" s="2287" t="str">
        <f ca="1">IF($AW29=0,"",INDIRECT(ADDRESS($BD29,BL$8)))</f>
        <v/>
      </c>
      <c r="BM29" s="2287" t="str">
        <f ca="1">IF($AW29=0,"",INDIRECT(ADDRESS($BD29,BM$8)))</f>
        <v/>
      </c>
      <c r="BN29" s="391" t="str">
        <f t="shared" ca="1" si="10"/>
        <v/>
      </c>
      <c r="BO29" s="391" t="str">
        <f t="shared" ca="1" si="10"/>
        <v/>
      </c>
      <c r="BP29" s="388" t="str">
        <f t="shared" ca="1" si="10"/>
        <v/>
      </c>
      <c r="BQ29" s="431"/>
      <c r="BR29" s="83">
        <v>108</v>
      </c>
      <c r="BZ29" s="583" t="s">
        <v>1318</v>
      </c>
      <c r="CA29" s="584" t="str">
        <f t="shared" si="0"/>
        <v>1206228</v>
      </c>
      <c r="CB29" s="585" t="s">
        <v>669</v>
      </c>
      <c r="CD29" s="1062"/>
      <c r="CE29" s="1062"/>
      <c r="CF29" s="1062"/>
      <c r="CG29" s="23"/>
      <c r="CH29" s="49" t="s">
        <v>881</v>
      </c>
      <c r="CI29" s="49" t="s">
        <v>19</v>
      </c>
      <c r="CJ29" s="49">
        <v>10</v>
      </c>
      <c r="CK29" s="49" t="s">
        <v>216</v>
      </c>
      <c r="CL29" s="49" t="s">
        <v>90</v>
      </c>
      <c r="CM29" s="49"/>
      <c r="CN29" s="49"/>
      <c r="CO29" s="50" t="s">
        <v>882</v>
      </c>
      <c r="CP29" s="51" t="str">
        <f>ASC(記入シート1!X43)</f>
        <v/>
      </c>
      <c r="CQ29" s="2"/>
      <c r="CR29" s="52"/>
      <c r="CS29" s="52"/>
      <c r="CT29" s="52"/>
      <c r="CU29" s="212"/>
      <c r="CV29" s="10">
        <f t="shared" si="1"/>
        <v>0</v>
      </c>
      <c r="CW29" s="34" t="s">
        <v>5</v>
      </c>
      <c r="CX29" s="34" t="s">
        <v>709</v>
      </c>
      <c r="CY29" s="40" t="s">
        <v>738</v>
      </c>
      <c r="CZ29" s="41" t="s">
        <v>343</v>
      </c>
      <c r="DA29" s="40" t="s">
        <v>393</v>
      </c>
      <c r="DB29" s="34" t="str">
        <f t="shared" si="2"/>
        <v>001</v>
      </c>
      <c r="DC29" s="81" t="s">
        <v>246</v>
      </c>
      <c r="DD29" s="96"/>
      <c r="DE29" s="64"/>
      <c r="DF29" s="64"/>
      <c r="DG29" s="64"/>
      <c r="DH29" s="435" t="s">
        <v>891</v>
      </c>
      <c r="DI29" s="436" t="s">
        <v>1907</v>
      </c>
      <c r="DJ29" s="38" t="s">
        <v>624</v>
      </c>
      <c r="DK29" s="75" t="str">
        <f t="shared" si="4"/>
        <v>106242YU</v>
      </c>
      <c r="DL29" s="78" t="s">
        <v>3644</v>
      </c>
      <c r="DM29" s="78" t="s">
        <v>1936</v>
      </c>
      <c r="DN29" s="227">
        <f>IF(AV110=TRUE,1,0)</f>
        <v>0</v>
      </c>
      <c r="DO29" s="18"/>
      <c r="DP29" s="83" t="s">
        <v>1269</v>
      </c>
      <c r="DQ29" s="83" t="s">
        <v>1149</v>
      </c>
      <c r="DR29" s="83" t="s">
        <v>1112</v>
      </c>
      <c r="DS29" s="83" t="s">
        <v>1276</v>
      </c>
      <c r="DT29" s="359" t="s">
        <v>1282</v>
      </c>
      <c r="DU29" s="361"/>
      <c r="DV29" s="23"/>
      <c r="DX29" s="85"/>
      <c r="DY29" s="85"/>
    </row>
    <row r="30" spans="1:129" ht="19.5" customHeight="1">
      <c r="A30" s="111"/>
      <c r="B30" s="181"/>
      <c r="C30" s="1876" t="s">
        <v>1401</v>
      </c>
      <c r="D30" s="1948"/>
      <c r="E30" s="1948"/>
      <c r="F30" s="1948"/>
      <c r="G30" s="1948"/>
      <c r="H30" s="1948"/>
      <c r="I30" s="1948"/>
      <c r="J30" s="1948"/>
      <c r="K30" s="2349"/>
      <c r="L30" s="2748" t="s">
        <v>642</v>
      </c>
      <c r="M30" s="2407"/>
      <c r="N30" s="2408"/>
      <c r="O30" s="2796" t="s">
        <v>1071</v>
      </c>
      <c r="P30" s="2796"/>
      <c r="Q30" s="2746">
        <v>0</v>
      </c>
      <c r="R30" s="2746"/>
      <c r="S30" s="2746"/>
      <c r="T30" s="2746"/>
      <c r="U30" s="2746">
        <v>0</v>
      </c>
      <c r="V30" s="2746"/>
      <c r="W30" s="2746"/>
      <c r="X30" s="2746"/>
      <c r="Y30" s="2301">
        <v>2.9000000000000001E-2</v>
      </c>
      <c r="Z30" s="2301"/>
      <c r="AA30" s="2301"/>
      <c r="AB30" s="2301"/>
      <c r="AC30" s="2301">
        <v>0</v>
      </c>
      <c r="AD30" s="2301"/>
      <c r="AE30" s="2301"/>
      <c r="AF30" s="2301"/>
      <c r="AG30" s="2300">
        <v>0</v>
      </c>
      <c r="AH30" s="2300"/>
      <c r="AI30" s="2300"/>
      <c r="AJ30" s="2300"/>
      <c r="AK30" s="2316" t="s">
        <v>5517</v>
      </c>
      <c r="AL30" s="2278"/>
      <c r="AM30" s="2278"/>
      <c r="AN30" s="1609" t="s">
        <v>5758</v>
      </c>
      <c r="AO30" s="1609"/>
      <c r="AP30" s="2308" t="s">
        <v>5126</v>
      </c>
      <c r="AQ30" s="2308"/>
      <c r="AR30" s="2308"/>
      <c r="AS30" s="2309" t="s">
        <v>3652</v>
      </c>
      <c r="AT30" s="2310"/>
      <c r="AU30" s="171"/>
      <c r="AV30" s="386" t="b">
        <v>0</v>
      </c>
      <c r="AW30" s="387">
        <f>AW29</f>
        <v>0</v>
      </c>
      <c r="AX30" s="387" t="s">
        <v>3816</v>
      </c>
      <c r="AY30" s="387"/>
      <c r="AZ30" s="387"/>
      <c r="BA30" s="83"/>
      <c r="BB30" s="83"/>
      <c r="BC30" s="84" t="s">
        <v>1898</v>
      </c>
      <c r="BD30" s="390">
        <f>BD29</f>
        <v>30</v>
      </c>
      <c r="BE30" s="83">
        <v>2</v>
      </c>
      <c r="BF30" s="15" t="str">
        <f>BR30&amp;BC30&amp;BE30</f>
        <v>108108022</v>
      </c>
      <c r="BG30" s="83"/>
      <c r="BH30" s="83"/>
      <c r="BI30" s="83">
        <v>10801</v>
      </c>
      <c r="BJ30" s="83">
        <f>IF(L30=$BC$2,1,0)</f>
        <v>1</v>
      </c>
      <c r="BK30" s="83">
        <f>AZ29</f>
        <v>0</v>
      </c>
      <c r="BL30" s="2288"/>
      <c r="BM30" s="2288"/>
      <c r="BN30" s="391" t="str">
        <f t="shared" ca="1" si="10"/>
        <v/>
      </c>
      <c r="BO30" s="391" t="str">
        <f t="shared" ca="1" si="10"/>
        <v/>
      </c>
      <c r="BP30" s="388" t="str">
        <f t="shared" ca="1" si="10"/>
        <v/>
      </c>
      <c r="BQ30" s="431"/>
      <c r="BR30" s="83">
        <v>108</v>
      </c>
      <c r="BZ30" s="583" t="s">
        <v>1319</v>
      </c>
      <c r="CA30" s="584" t="str">
        <f t="shared" si="0"/>
        <v>1206333</v>
      </c>
      <c r="CB30" s="585" t="s">
        <v>670</v>
      </c>
      <c r="CD30" s="1062"/>
      <c r="CE30" s="1062"/>
      <c r="CF30" s="1062"/>
      <c r="CG30" s="23"/>
      <c r="CH30" s="49" t="s">
        <v>245</v>
      </c>
      <c r="CI30" s="49" t="s">
        <v>22</v>
      </c>
      <c r="CJ30" s="49">
        <v>40</v>
      </c>
      <c r="CK30" s="49" t="s">
        <v>216</v>
      </c>
      <c r="CL30" s="49" t="s">
        <v>90</v>
      </c>
      <c r="CM30" s="49"/>
      <c r="CN30" s="49"/>
      <c r="CO30" s="50" t="s">
        <v>244</v>
      </c>
      <c r="CP30" s="51" t="str">
        <f>ASC(SUBSTITUTE(SUBSTITUTE(SUBSTITUTE(SUBSTITUTE(記入シート1!I48,"　","")," ",""),"ヴ","ウﾞ"),"・",""))&amp;" "&amp;ASC(SUBSTITUTE(SUBSTITUTE(SUBSTITUTE(SUBSTITUTE(記入シート1!O48,"　","")," ",""),"ヴ","ウﾞ"),"・",""))</f>
        <v xml:space="preserve"> </v>
      </c>
      <c r="CQ30" s="2"/>
      <c r="CR30" s="52"/>
      <c r="CS30" s="52"/>
      <c r="CT30" s="52"/>
      <c r="CU30" s="212"/>
      <c r="CV30" s="10">
        <f t="shared" si="1"/>
        <v>0</v>
      </c>
      <c r="CW30" s="34" t="s">
        <v>721</v>
      </c>
      <c r="CX30" s="34"/>
      <c r="CY30" s="40"/>
      <c r="CZ30" s="41"/>
      <c r="DA30" s="40"/>
      <c r="DB30" s="34" t="str">
        <f t="shared" si="2"/>
        <v>001</v>
      </c>
      <c r="DC30" s="81" t="s">
        <v>243</v>
      </c>
      <c r="DD30" s="96"/>
      <c r="DE30" s="64"/>
      <c r="DF30" s="64"/>
      <c r="DG30" s="64"/>
      <c r="DH30" s="435" t="s">
        <v>891</v>
      </c>
      <c r="DI30" s="436" t="s">
        <v>1908</v>
      </c>
      <c r="DJ30" s="38" t="s">
        <v>624</v>
      </c>
      <c r="DK30" s="75" t="str">
        <f t="shared" si="4"/>
        <v>106242YV</v>
      </c>
      <c r="DL30" s="78" t="s">
        <v>3644</v>
      </c>
      <c r="DM30" s="78" t="s">
        <v>1937</v>
      </c>
      <c r="DN30" s="227">
        <f>IF(AV111=TRUE,1,0)</f>
        <v>0</v>
      </c>
      <c r="DO30" s="18"/>
      <c r="DP30" s="83" t="s">
        <v>1269</v>
      </c>
      <c r="DQ30" s="83" t="s">
        <v>1150</v>
      </c>
      <c r="DR30" s="83" t="s">
        <v>1252</v>
      </c>
      <c r="DS30" s="83" t="s">
        <v>1278</v>
      </c>
      <c r="DT30" s="359" t="s">
        <v>1283</v>
      </c>
      <c r="DU30" s="361"/>
      <c r="DV30" s="23"/>
      <c r="DX30" s="85"/>
      <c r="DY30" s="85"/>
    </row>
    <row r="31" spans="1:129" ht="19.5" customHeight="1" thickBot="1">
      <c r="A31" s="354"/>
      <c r="B31" s="181"/>
      <c r="C31" s="1621" t="s">
        <v>1971</v>
      </c>
      <c r="D31" s="1622"/>
      <c r="E31" s="1622"/>
      <c r="F31" s="1622"/>
      <c r="G31" s="1622"/>
      <c r="H31" s="1622"/>
      <c r="I31" s="2014"/>
      <c r="J31" s="780"/>
      <c r="K31" s="781"/>
      <c r="L31" s="2249" t="s">
        <v>642</v>
      </c>
      <c r="M31" s="2186"/>
      <c r="N31" s="2187"/>
      <c r="O31" s="2803" t="s">
        <v>1071</v>
      </c>
      <c r="P31" s="2803"/>
      <c r="Q31" s="2764">
        <v>0</v>
      </c>
      <c r="R31" s="2764"/>
      <c r="S31" s="2764"/>
      <c r="T31" s="2764"/>
      <c r="U31" s="2764">
        <v>0</v>
      </c>
      <c r="V31" s="2764"/>
      <c r="W31" s="2764"/>
      <c r="X31" s="2764"/>
      <c r="Y31" s="2148">
        <v>2.9000000000000001E-2</v>
      </c>
      <c r="Z31" s="2148"/>
      <c r="AA31" s="2148"/>
      <c r="AB31" s="2148"/>
      <c r="AC31" s="2148">
        <v>0</v>
      </c>
      <c r="AD31" s="2148"/>
      <c r="AE31" s="2148"/>
      <c r="AF31" s="2148"/>
      <c r="AG31" s="2149">
        <v>0</v>
      </c>
      <c r="AH31" s="2149"/>
      <c r="AI31" s="2149"/>
      <c r="AJ31" s="2149"/>
      <c r="AK31" s="2852" t="s">
        <v>5517</v>
      </c>
      <c r="AL31" s="2853"/>
      <c r="AM31" s="2853"/>
      <c r="AN31" s="2848" t="s">
        <v>5689</v>
      </c>
      <c r="AO31" s="2848"/>
      <c r="AP31" s="2922" t="s">
        <v>5126</v>
      </c>
      <c r="AQ31" s="2922"/>
      <c r="AR31" s="2922"/>
      <c r="AS31" s="2848" t="s">
        <v>3652</v>
      </c>
      <c r="AT31" s="2923"/>
      <c r="AU31" s="171"/>
      <c r="AV31" s="386" t="b">
        <v>0</v>
      </c>
      <c r="AW31" s="387">
        <f>AV31*1</f>
        <v>0</v>
      </c>
      <c r="AX31" s="427" t="s">
        <v>1976</v>
      </c>
      <c r="AY31" s="432" t="str">
        <f>TEXT(BR31,"000")</f>
        <v>109</v>
      </c>
      <c r="AZ31" s="432">
        <f>AW31</f>
        <v>0</v>
      </c>
      <c r="BA31" s="390" t="str">
        <f>IF(O31="2回入金","92",IF(O31="1回入金","91",""))</f>
        <v>92</v>
      </c>
      <c r="BB31" s="84" t="str">
        <f>AZ3</f>
        <v>14</v>
      </c>
      <c r="BC31" s="84" t="s">
        <v>1977</v>
      </c>
      <c r="BD31" s="390">
        <f>ROW(C31)</f>
        <v>31</v>
      </c>
      <c r="BE31" s="390">
        <v>1</v>
      </c>
      <c r="BF31" s="15" t="str">
        <f t="shared" ref="BF31:BF36" si="11">BR31&amp;BC31&amp;BE31</f>
        <v>109109011</v>
      </c>
      <c r="BG31" s="494"/>
      <c r="BH31" s="494"/>
      <c r="BI31" s="842" t="str">
        <f>IF(AV2=3,"10902","10901")</f>
        <v>10901</v>
      </c>
      <c r="BJ31" s="83">
        <f>IF(L31=$BC$2,1,0)</f>
        <v>1</v>
      </c>
      <c r="BK31" s="431">
        <f>AZ31</f>
        <v>0</v>
      </c>
      <c r="BL31" s="2287" t="str">
        <f ca="1">IF($AW31=0,"",INDIRECT(ADDRESS($BD31,BL$8)))</f>
        <v/>
      </c>
      <c r="BM31" s="2287" t="str">
        <f ca="1">IF($AW31=0,"",INDIRECT(ADDRESS($BD31,BM$8)))</f>
        <v/>
      </c>
      <c r="BN31" s="391" t="str">
        <f t="shared" ca="1" si="10"/>
        <v/>
      </c>
      <c r="BO31" s="391" t="str">
        <f t="shared" ca="1" si="10"/>
        <v/>
      </c>
      <c r="BP31" s="388" t="str">
        <f t="shared" ca="1" si="10"/>
        <v/>
      </c>
      <c r="BQ31" s="495"/>
      <c r="BR31" s="83">
        <v>109</v>
      </c>
      <c r="BZ31" s="583" t="s">
        <v>1320</v>
      </c>
      <c r="CA31" s="584" t="str">
        <f t="shared" si="0"/>
        <v>1206897</v>
      </c>
      <c r="CB31" s="585" t="s">
        <v>671</v>
      </c>
      <c r="CD31" s="1062"/>
      <c r="CE31" s="1062"/>
      <c r="CF31" s="1062"/>
      <c r="CG31" s="23"/>
      <c r="CH31" s="49" t="s">
        <v>248</v>
      </c>
      <c r="CI31" s="49" t="s">
        <v>21</v>
      </c>
      <c r="CJ31" s="49">
        <v>40</v>
      </c>
      <c r="CK31" s="49" t="s">
        <v>216</v>
      </c>
      <c r="CL31" s="49" t="s">
        <v>90</v>
      </c>
      <c r="CM31" s="49"/>
      <c r="CN31" s="49"/>
      <c r="CO31" s="50" t="s">
        <v>247</v>
      </c>
      <c r="CP31" s="51" t="str">
        <f>T(SUBSTITUTE(SUBSTITUTE(記入シート1!I49,"　","")," ",""))&amp;"　"&amp;T(SUBSTITUTE(SUBSTITUTE(記入シート1!O49,"　","")," ",""))</f>
        <v>　</v>
      </c>
      <c r="CQ31" s="2"/>
      <c r="CR31" s="52"/>
      <c r="CS31" s="52"/>
      <c r="CT31" s="52"/>
      <c r="CU31" s="212"/>
      <c r="CV31" s="10">
        <f t="shared" si="1"/>
        <v>0</v>
      </c>
      <c r="CW31" s="34" t="s">
        <v>5</v>
      </c>
      <c r="CX31" s="34" t="s">
        <v>712</v>
      </c>
      <c r="CY31" s="40" t="s">
        <v>739</v>
      </c>
      <c r="CZ31" s="41" t="s">
        <v>343</v>
      </c>
      <c r="DA31" s="40"/>
      <c r="DB31" s="34" t="str">
        <f t="shared" si="2"/>
        <v>001</v>
      </c>
      <c r="DC31" s="81" t="s">
        <v>241</v>
      </c>
      <c r="DD31" s="96"/>
      <c r="DE31" s="64"/>
      <c r="DF31" s="64"/>
      <c r="DG31" s="64"/>
      <c r="DH31" s="435" t="s">
        <v>891</v>
      </c>
      <c r="DI31" s="436" t="s">
        <v>1909</v>
      </c>
      <c r="DJ31" s="436"/>
      <c r="DK31" s="75" t="str">
        <f t="shared" si="4"/>
        <v>106242YW</v>
      </c>
      <c r="DL31" s="78" t="s">
        <v>3644</v>
      </c>
      <c r="DM31" s="78" t="s">
        <v>1938</v>
      </c>
      <c r="DN31" s="227" t="str">
        <f>ASC(AA136)</f>
        <v>0</v>
      </c>
      <c r="DO31" s="18"/>
      <c r="DP31" s="83" t="s">
        <v>1269</v>
      </c>
      <c r="DQ31" s="83" t="s">
        <v>1151</v>
      </c>
      <c r="DR31" s="83" t="s">
        <v>1112</v>
      </c>
      <c r="DS31" s="83" t="s">
        <v>1276</v>
      </c>
      <c r="DT31" s="359" t="s">
        <v>1284</v>
      </c>
      <c r="DU31" s="361"/>
      <c r="DV31" s="23"/>
      <c r="DX31" s="85"/>
      <c r="DY31" s="85"/>
    </row>
    <row r="32" spans="1:129" ht="19.5" customHeight="1" thickTop="1" thickBot="1">
      <c r="A32" s="354"/>
      <c r="B32" s="181"/>
      <c r="C32" s="1997"/>
      <c r="D32" s="1467"/>
      <c r="E32" s="1467"/>
      <c r="F32" s="1467"/>
      <c r="G32" s="1467"/>
      <c r="H32" s="1467"/>
      <c r="I32" s="1469"/>
      <c r="J32" s="2166" t="s">
        <v>5690</v>
      </c>
      <c r="K32" s="2167"/>
      <c r="L32" s="1377"/>
      <c r="M32" s="1377"/>
      <c r="N32" s="2117"/>
      <c r="O32" s="2762" t="s">
        <v>5691</v>
      </c>
      <c r="P32" s="2763"/>
      <c r="Q32" s="2763"/>
      <c r="R32" s="2763"/>
      <c r="S32" s="2763"/>
      <c r="T32" s="2763"/>
      <c r="U32" s="1082"/>
      <c r="V32" s="1083"/>
      <c r="W32" s="1083"/>
      <c r="X32" s="1083"/>
      <c r="Y32" s="1084"/>
      <c r="Z32" s="1084"/>
      <c r="AA32" s="1084"/>
      <c r="AB32" s="1084"/>
      <c r="AC32" s="1084"/>
      <c r="AD32" s="1084"/>
      <c r="AE32" s="1084"/>
      <c r="AF32" s="1084"/>
      <c r="AG32" s="1085"/>
      <c r="AH32" s="1085"/>
      <c r="AI32" s="1085"/>
      <c r="AJ32" s="1085"/>
      <c r="AK32" s="1086"/>
      <c r="AL32" s="1086"/>
      <c r="AM32" s="1086"/>
      <c r="AN32" s="1087"/>
      <c r="AO32" s="1087"/>
      <c r="AP32" s="1087"/>
      <c r="AQ32" s="1087"/>
      <c r="AR32" s="1087"/>
      <c r="AS32" s="1087"/>
      <c r="AT32" s="1088"/>
      <c r="AU32" s="171"/>
      <c r="AV32" s="386" t="b">
        <v>0</v>
      </c>
      <c r="AW32" s="387">
        <f>AW31</f>
        <v>0</v>
      </c>
      <c r="AX32" s="427" t="s">
        <v>3622</v>
      </c>
      <c r="AY32" s="493"/>
      <c r="AZ32" s="493"/>
      <c r="BA32" s="83"/>
      <c r="BB32" s="83"/>
      <c r="BC32" s="84" t="s">
        <v>1978</v>
      </c>
      <c r="BD32" s="390">
        <f>BD31</f>
        <v>31</v>
      </c>
      <c r="BE32" s="83">
        <v>2</v>
      </c>
      <c r="BF32" s="15" t="str">
        <f t="shared" si="11"/>
        <v>109109022</v>
      </c>
      <c r="BG32" s="494"/>
      <c r="BH32" s="494"/>
      <c r="BI32" s="842" t="str">
        <f>IF(AV2=3,"10902","10901")</f>
        <v>10901</v>
      </c>
      <c r="BJ32" s="83">
        <f>IF(L31=$BC$2,1,0)</f>
        <v>1</v>
      </c>
      <c r="BK32" s="83">
        <f>AZ31</f>
        <v>0</v>
      </c>
      <c r="BL32" s="2288"/>
      <c r="BM32" s="2288"/>
      <c r="BN32" s="391" t="str">
        <f t="shared" ca="1" si="10"/>
        <v/>
      </c>
      <c r="BO32" s="391" t="str">
        <f t="shared" ca="1" si="10"/>
        <v/>
      </c>
      <c r="BP32" s="388" t="str">
        <f t="shared" ca="1" si="10"/>
        <v/>
      </c>
      <c r="BQ32" s="495"/>
      <c r="BR32" s="83">
        <v>109</v>
      </c>
      <c r="BZ32" s="583" t="s">
        <v>1357</v>
      </c>
      <c r="CA32" s="584" t="str">
        <f t="shared" si="0"/>
        <v>1206989</v>
      </c>
      <c r="CB32" s="585" t="s">
        <v>672</v>
      </c>
      <c r="CD32" s="1062"/>
      <c r="CE32" s="1062"/>
      <c r="CF32" s="1062"/>
      <c r="CG32" s="23"/>
      <c r="CH32" s="49" t="s">
        <v>242</v>
      </c>
      <c r="CI32" s="49" t="s">
        <v>21</v>
      </c>
      <c r="CJ32" s="49">
        <v>20</v>
      </c>
      <c r="CK32" s="49" t="s">
        <v>216</v>
      </c>
      <c r="CL32" s="49" t="s">
        <v>90</v>
      </c>
      <c r="CM32" s="49"/>
      <c r="CN32" s="49"/>
      <c r="CO32" s="50" t="s">
        <v>394</v>
      </c>
      <c r="CP32" s="51" t="str">
        <f>T(記入シート1!X48)</f>
        <v/>
      </c>
      <c r="CQ32" s="2"/>
      <c r="CR32" s="52"/>
      <c r="CS32" s="52"/>
      <c r="CT32" s="52"/>
      <c r="CU32" s="52"/>
      <c r="CV32" s="10">
        <f t="shared" si="1"/>
        <v>0</v>
      </c>
      <c r="CW32" s="34" t="s">
        <v>239</v>
      </c>
      <c r="CX32" s="34" t="s">
        <v>712</v>
      </c>
      <c r="CY32" s="219"/>
      <c r="CZ32" s="40" t="s">
        <v>359</v>
      </c>
      <c r="DA32" s="40"/>
      <c r="DB32" s="34" t="str">
        <f t="shared" si="2"/>
        <v>001</v>
      </c>
      <c r="DC32" s="81" t="s">
        <v>240</v>
      </c>
      <c r="DD32" s="96"/>
      <c r="DE32" s="64"/>
      <c r="DF32" s="64"/>
      <c r="DG32" s="64"/>
      <c r="DH32" s="435" t="s">
        <v>891</v>
      </c>
      <c r="DI32" s="436" t="s">
        <v>3808</v>
      </c>
      <c r="DJ32" s="436"/>
      <c r="DK32" s="75" t="str">
        <f t="shared" si="4"/>
        <v>106242YX</v>
      </c>
      <c r="DL32" s="78" t="s">
        <v>3644</v>
      </c>
      <c r="DM32" s="78" t="s">
        <v>1939</v>
      </c>
      <c r="DN32" s="361"/>
      <c r="DO32" s="18"/>
      <c r="DP32" s="83" t="s">
        <v>1269</v>
      </c>
      <c r="DQ32" s="83" t="s">
        <v>1152</v>
      </c>
      <c r="DR32" s="83" t="s">
        <v>1252</v>
      </c>
      <c r="DS32" s="83" t="s">
        <v>1278</v>
      </c>
      <c r="DT32" s="359" t="s">
        <v>1285</v>
      </c>
      <c r="DU32" s="361"/>
      <c r="DV32" s="23"/>
      <c r="DX32" s="85"/>
      <c r="DY32" s="85"/>
    </row>
    <row r="33" spans="1:129" ht="19.5" customHeight="1" thickTop="1">
      <c r="A33" s="354"/>
      <c r="B33" s="181"/>
      <c r="C33" s="2292" t="s">
        <v>5685</v>
      </c>
      <c r="D33" s="2293"/>
      <c r="E33" s="2293"/>
      <c r="F33" s="2293"/>
      <c r="G33" s="2293"/>
      <c r="H33" s="2293"/>
      <c r="I33" s="2294"/>
      <c r="J33" s="768"/>
      <c r="K33" s="769"/>
      <c r="L33" s="2804" t="s">
        <v>642</v>
      </c>
      <c r="M33" s="2805"/>
      <c r="N33" s="2806"/>
      <c r="O33" s="2847" t="s">
        <v>1071</v>
      </c>
      <c r="P33" s="2847"/>
      <c r="Q33" s="2782">
        <v>0</v>
      </c>
      <c r="R33" s="2782"/>
      <c r="S33" s="2782"/>
      <c r="T33" s="2782"/>
      <c r="U33" s="2782">
        <v>0</v>
      </c>
      <c r="V33" s="2782"/>
      <c r="W33" s="2782"/>
      <c r="X33" s="2782"/>
      <c r="Y33" s="2855">
        <v>2.9000000000000001E-2</v>
      </c>
      <c r="Z33" s="2855"/>
      <c r="AA33" s="2855"/>
      <c r="AB33" s="2855"/>
      <c r="AC33" s="2855">
        <v>0</v>
      </c>
      <c r="AD33" s="2855"/>
      <c r="AE33" s="2855"/>
      <c r="AF33" s="2855"/>
      <c r="AG33" s="2921">
        <v>0</v>
      </c>
      <c r="AH33" s="2921"/>
      <c r="AI33" s="2921"/>
      <c r="AJ33" s="2921"/>
      <c r="AK33" s="2857" t="s">
        <v>5517</v>
      </c>
      <c r="AL33" s="2858"/>
      <c r="AM33" s="2858"/>
      <c r="AN33" s="2849" t="s">
        <v>5519</v>
      </c>
      <c r="AO33" s="2849"/>
      <c r="AP33" s="2856" t="s">
        <v>5126</v>
      </c>
      <c r="AQ33" s="2856"/>
      <c r="AR33" s="2856"/>
      <c r="AS33" s="2849" t="s">
        <v>3652</v>
      </c>
      <c r="AT33" s="2854"/>
      <c r="AU33" s="171"/>
      <c r="AV33" s="386" t="b">
        <v>0</v>
      </c>
      <c r="AW33" s="387">
        <f>AV32*1</f>
        <v>0</v>
      </c>
      <c r="AX33" s="427" t="s">
        <v>1972</v>
      </c>
      <c r="AY33" s="432" t="str">
        <f>TEXT(BR33,"000")</f>
        <v>110</v>
      </c>
      <c r="AZ33" s="432">
        <f>AW33</f>
        <v>0</v>
      </c>
      <c r="BA33" s="390" t="str">
        <f>IF(O33="2回入金","92",IF(O33="1回入金","91",""))</f>
        <v>92</v>
      </c>
      <c r="BB33" s="84" t="str">
        <f>AZ3</f>
        <v>14</v>
      </c>
      <c r="BC33" s="84" t="s">
        <v>1979</v>
      </c>
      <c r="BD33" s="390">
        <f>ROW(C33)</f>
        <v>33</v>
      </c>
      <c r="BE33" s="390">
        <v>1</v>
      </c>
      <c r="BF33" s="15" t="str">
        <f t="shared" si="11"/>
        <v>110110011</v>
      </c>
      <c r="BG33" s="494"/>
      <c r="BH33" s="494"/>
      <c r="BI33" s="842" t="str">
        <f>IF(AV2=3,"11002","11001")</f>
        <v>11001</v>
      </c>
      <c r="BJ33" s="83">
        <f>IF(L32=$BC$2,1,0)</f>
        <v>0</v>
      </c>
      <c r="BK33" s="431">
        <f>AZ33</f>
        <v>0</v>
      </c>
      <c r="BL33" s="2287" t="str">
        <f ca="1">IF($AW33=0,"",INDIRECT(ADDRESS($BD33,BL$8)))</f>
        <v/>
      </c>
      <c r="BM33" s="2287" t="str">
        <f ca="1">IF($AW33=0,"",INDIRECT(ADDRESS($BD33,BM$8)))</f>
        <v/>
      </c>
      <c r="BN33" s="391" t="str">
        <f t="shared" ca="1" si="10"/>
        <v/>
      </c>
      <c r="BO33" s="391" t="str">
        <f t="shared" ca="1" si="10"/>
        <v/>
      </c>
      <c r="BP33" s="388" t="str">
        <f t="shared" ca="1" si="10"/>
        <v/>
      </c>
      <c r="BQ33" s="495"/>
      <c r="BR33" s="83">
        <v>110</v>
      </c>
      <c r="BZ33" s="583" t="s">
        <v>1358</v>
      </c>
      <c r="CA33" s="584" t="str">
        <f t="shared" si="0"/>
        <v>1207224</v>
      </c>
      <c r="CB33" s="585" t="s">
        <v>673</v>
      </c>
      <c r="CD33" s="1062"/>
      <c r="CE33" s="1062"/>
      <c r="CF33" s="1062"/>
      <c r="CG33" s="23"/>
      <c r="CH33" s="49" t="s">
        <v>395</v>
      </c>
      <c r="CI33" s="49" t="s">
        <v>63</v>
      </c>
      <c r="CJ33" s="49">
        <v>1</v>
      </c>
      <c r="CK33" s="49" t="s">
        <v>216</v>
      </c>
      <c r="CL33" s="49" t="s">
        <v>396</v>
      </c>
      <c r="CM33" s="49" t="s">
        <v>593</v>
      </c>
      <c r="CN33" s="49"/>
      <c r="CO33" s="50" t="s">
        <v>397</v>
      </c>
      <c r="CP33" s="51">
        <f>記入シート1!AV48</f>
        <v>0</v>
      </c>
      <c r="CQ33" s="2"/>
      <c r="CR33" s="52"/>
      <c r="CS33" s="52"/>
      <c r="CT33" s="52"/>
      <c r="CU33" s="52"/>
      <c r="CV33" s="10">
        <f t="shared" si="1"/>
        <v>0</v>
      </c>
      <c r="CW33" s="34" t="s">
        <v>236</v>
      </c>
      <c r="CX33" s="34" t="s">
        <v>712</v>
      </c>
      <c r="CY33" s="219"/>
      <c r="CZ33" s="40" t="s">
        <v>359</v>
      </c>
      <c r="DA33" s="40"/>
      <c r="DB33" s="34" t="str">
        <f t="shared" si="2"/>
        <v>001</v>
      </c>
      <c r="DC33" s="81" t="s">
        <v>237</v>
      </c>
      <c r="DD33" s="96"/>
      <c r="DE33" s="64"/>
      <c r="DF33" s="64"/>
      <c r="DG33" s="64"/>
      <c r="DH33" s="435" t="s">
        <v>891</v>
      </c>
      <c r="DI33" s="436" t="s">
        <v>3592</v>
      </c>
      <c r="DJ33" s="436"/>
      <c r="DK33" s="75" t="str">
        <f t="shared" si="4"/>
        <v>106242YY</v>
      </c>
      <c r="DL33" s="78" t="s">
        <v>3644</v>
      </c>
      <c r="DM33" s="78" t="s">
        <v>1940</v>
      </c>
      <c r="DN33" s="361"/>
      <c r="DO33" s="18"/>
      <c r="DP33" s="83" t="s">
        <v>1269</v>
      </c>
      <c r="DQ33" s="83" t="s">
        <v>1153</v>
      </c>
      <c r="DR33" s="83" t="s">
        <v>1273</v>
      </c>
      <c r="DS33" s="83" t="s">
        <v>1286</v>
      </c>
      <c r="DT33" s="359" t="s">
        <v>1287</v>
      </c>
      <c r="DU33" s="360"/>
      <c r="DV33" s="23"/>
      <c r="DX33" s="85"/>
      <c r="DY33" s="85"/>
    </row>
    <row r="34" spans="1:129" ht="19.5" customHeight="1">
      <c r="A34" s="354"/>
      <c r="B34" s="181"/>
      <c r="C34" s="2775" t="s">
        <v>1975</v>
      </c>
      <c r="D34" s="2776"/>
      <c r="E34" s="2776"/>
      <c r="F34" s="2776"/>
      <c r="G34" s="2776"/>
      <c r="H34" s="2776"/>
      <c r="I34" s="2777"/>
      <c r="J34" s="1075"/>
      <c r="K34" s="1076"/>
      <c r="L34" s="2778" t="s">
        <v>642</v>
      </c>
      <c r="M34" s="2779"/>
      <c r="N34" s="2780"/>
      <c r="O34" s="2781" t="s">
        <v>1071</v>
      </c>
      <c r="P34" s="2781"/>
      <c r="Q34" s="2807">
        <v>0</v>
      </c>
      <c r="R34" s="2807"/>
      <c r="S34" s="2807"/>
      <c r="T34" s="2807"/>
      <c r="U34" s="2807">
        <v>0</v>
      </c>
      <c r="V34" s="2807"/>
      <c r="W34" s="2807"/>
      <c r="X34" s="2807"/>
      <c r="Y34" s="2887">
        <v>2.9000000000000001E-2</v>
      </c>
      <c r="Z34" s="2887"/>
      <c r="AA34" s="2887"/>
      <c r="AB34" s="2887"/>
      <c r="AC34" s="2887">
        <v>0</v>
      </c>
      <c r="AD34" s="2887"/>
      <c r="AE34" s="2887"/>
      <c r="AF34" s="2887"/>
      <c r="AG34" s="2920">
        <v>0</v>
      </c>
      <c r="AH34" s="2920"/>
      <c r="AI34" s="2920"/>
      <c r="AJ34" s="2920"/>
      <c r="AK34" s="2866" t="s">
        <v>5517</v>
      </c>
      <c r="AL34" s="2867"/>
      <c r="AM34" s="2867"/>
      <c r="AN34" s="2868" t="s">
        <v>4345</v>
      </c>
      <c r="AO34" s="2868"/>
      <c r="AP34" s="2862" t="s">
        <v>3651</v>
      </c>
      <c r="AQ34" s="2862"/>
      <c r="AR34" s="2862"/>
      <c r="AS34" s="2864" t="s">
        <v>3652</v>
      </c>
      <c r="AT34" s="2865"/>
      <c r="AU34" s="171"/>
      <c r="AV34" s="386" t="b">
        <v>0</v>
      </c>
      <c r="AW34" s="387">
        <f>AW33</f>
        <v>0</v>
      </c>
      <c r="AX34" s="427" t="s">
        <v>3623</v>
      </c>
      <c r="AY34" s="493"/>
      <c r="AZ34" s="493"/>
      <c r="BA34" s="83"/>
      <c r="BB34" s="83"/>
      <c r="BC34" s="84" t="s">
        <v>1980</v>
      </c>
      <c r="BD34" s="390">
        <f>BD33</f>
        <v>33</v>
      </c>
      <c r="BE34" s="83">
        <v>2</v>
      </c>
      <c r="BF34" s="15" t="str">
        <f t="shared" si="11"/>
        <v>110110022</v>
      </c>
      <c r="BG34" s="494"/>
      <c r="BH34" s="494"/>
      <c r="BI34" s="842" t="str">
        <f>IF(AV2=3,"10902","10901")</f>
        <v>10901</v>
      </c>
      <c r="BJ34" s="83">
        <f>IF(L32=$BC$2,1,0)</f>
        <v>0</v>
      </c>
      <c r="BK34" s="83">
        <f>AZ33</f>
        <v>0</v>
      </c>
      <c r="BL34" s="2288"/>
      <c r="BM34" s="2288"/>
      <c r="BN34" s="391" t="str">
        <f t="shared" ca="1" si="10"/>
        <v/>
      </c>
      <c r="BO34" s="391" t="str">
        <f t="shared" ca="1" si="10"/>
        <v/>
      </c>
      <c r="BP34" s="388" t="str">
        <f t="shared" ca="1" si="10"/>
        <v/>
      </c>
      <c r="BQ34" s="495"/>
      <c r="BR34" s="83">
        <v>110</v>
      </c>
      <c r="BZ34" s="583" t="s">
        <v>1359</v>
      </c>
      <c r="CA34" s="584" t="str">
        <f t="shared" si="0"/>
        <v>1207256</v>
      </c>
      <c r="CB34" s="585" t="s">
        <v>674</v>
      </c>
      <c r="CD34" s="1062"/>
      <c r="CE34" s="1062"/>
      <c r="CF34" s="1062"/>
      <c r="CG34" s="23"/>
      <c r="CH34" s="49" t="s">
        <v>400</v>
      </c>
      <c r="CI34" s="49" t="s">
        <v>63</v>
      </c>
      <c r="CJ34" s="49">
        <v>8</v>
      </c>
      <c r="CK34" s="49" t="s">
        <v>216</v>
      </c>
      <c r="CL34" s="49" t="s">
        <v>90</v>
      </c>
      <c r="CM34" s="49"/>
      <c r="CN34" s="49"/>
      <c r="CO34" s="50" t="s">
        <v>238</v>
      </c>
      <c r="CP34" s="51" t="str">
        <f>RIGHT("0000"&amp;記入シート1!AI49,4)&amp;RIGHT("00"&amp;記入シート1!AM49,2)&amp;RIGHT("00"&amp;記入シート1!AQ49,2)</f>
        <v>00000000</v>
      </c>
      <c r="CQ34" s="2"/>
      <c r="CR34" s="52"/>
      <c r="CS34" s="52"/>
      <c r="CT34" s="52"/>
      <c r="CU34" s="212"/>
      <c r="CV34" s="10">
        <f t="shared" si="1"/>
        <v>0</v>
      </c>
      <c r="CW34" s="34" t="s">
        <v>722</v>
      </c>
      <c r="CX34" s="34"/>
      <c r="CY34" s="40"/>
      <c r="CZ34" s="41"/>
      <c r="DA34" s="40"/>
      <c r="DB34" s="34" t="str">
        <f t="shared" si="2"/>
        <v>001</v>
      </c>
      <c r="DC34" s="81" t="s">
        <v>234</v>
      </c>
      <c r="DD34" s="34"/>
      <c r="DE34" s="64"/>
      <c r="DF34" s="64"/>
      <c r="DG34" s="64"/>
      <c r="DH34" s="435" t="s">
        <v>891</v>
      </c>
      <c r="DI34" s="436" t="s">
        <v>1985</v>
      </c>
      <c r="DJ34" s="436"/>
      <c r="DK34" s="75" t="str">
        <f t="shared" si="4"/>
        <v>106242YZ</v>
      </c>
      <c r="DL34" s="78" t="s">
        <v>3644</v>
      </c>
      <c r="DM34" s="78" t="s">
        <v>1983</v>
      </c>
      <c r="DN34" s="227">
        <f>IF(AV92=TRUE,1,0)</f>
        <v>0</v>
      </c>
      <c r="DO34" s="18"/>
      <c r="DP34" s="83" t="s">
        <v>1269</v>
      </c>
      <c r="DQ34" s="83" t="s">
        <v>1154</v>
      </c>
      <c r="DR34" s="83" t="s">
        <v>1112</v>
      </c>
      <c r="DS34" s="83" t="s">
        <v>1276</v>
      </c>
      <c r="DT34" s="50" t="s">
        <v>1155</v>
      </c>
      <c r="DU34" s="227">
        <v>1</v>
      </c>
      <c r="DV34" s="23"/>
      <c r="DX34" s="85"/>
      <c r="DY34" s="85"/>
    </row>
    <row r="35" spans="1:129" ht="19.5" customHeight="1" thickBot="1">
      <c r="A35" s="354"/>
      <c r="B35" s="181"/>
      <c r="C35" s="2523" t="s">
        <v>5684</v>
      </c>
      <c r="D35" s="2524"/>
      <c r="E35" s="2524"/>
      <c r="F35" s="2524"/>
      <c r="G35" s="2524"/>
      <c r="H35" s="2524"/>
      <c r="I35" s="2525"/>
      <c r="J35" s="1009"/>
      <c r="K35" s="853"/>
      <c r="L35" s="2783" t="s">
        <v>642</v>
      </c>
      <c r="M35" s="2784"/>
      <c r="N35" s="2785"/>
      <c r="O35" s="2786" t="s">
        <v>1071</v>
      </c>
      <c r="P35" s="2786"/>
      <c r="Q35" s="2764">
        <v>0</v>
      </c>
      <c r="R35" s="2764"/>
      <c r="S35" s="2764"/>
      <c r="T35" s="2764"/>
      <c r="U35" s="2764">
        <v>0</v>
      </c>
      <c r="V35" s="2764"/>
      <c r="W35" s="2764"/>
      <c r="X35" s="2764"/>
      <c r="Y35" s="2148">
        <v>3.2399999999999998E-2</v>
      </c>
      <c r="Z35" s="2148"/>
      <c r="AA35" s="2148"/>
      <c r="AB35" s="2148"/>
      <c r="AC35" s="2148">
        <v>0</v>
      </c>
      <c r="AD35" s="2148"/>
      <c r="AE35" s="2148"/>
      <c r="AF35" s="2148"/>
      <c r="AG35" s="2149">
        <v>0</v>
      </c>
      <c r="AH35" s="2149"/>
      <c r="AI35" s="2149"/>
      <c r="AJ35" s="2149"/>
      <c r="AK35" s="2787" t="s">
        <v>5686</v>
      </c>
      <c r="AL35" s="2788"/>
      <c r="AM35" s="2788"/>
      <c r="AN35" s="2863" t="s">
        <v>5687</v>
      </c>
      <c r="AO35" s="2863"/>
      <c r="AP35" s="2788" t="s">
        <v>5688</v>
      </c>
      <c r="AQ35" s="2788"/>
      <c r="AR35" s="2788"/>
      <c r="AS35" s="2790" t="s">
        <v>3652</v>
      </c>
      <c r="AT35" s="2791"/>
      <c r="AU35" s="171"/>
      <c r="AV35" s="20"/>
      <c r="AW35" s="387">
        <f>AV33*1</f>
        <v>0</v>
      </c>
      <c r="AX35" s="427" t="s">
        <v>1974</v>
      </c>
      <c r="AY35" s="432" t="str">
        <f>TEXT(BR35,"000")</f>
        <v>111</v>
      </c>
      <c r="AZ35" s="432">
        <f>AW35</f>
        <v>0</v>
      </c>
      <c r="BA35" s="390" t="str">
        <f>IF(O34="2回入金","92",IF(O34="1回入金","91",""))</f>
        <v>92</v>
      </c>
      <c r="BB35" s="84" t="str">
        <f>AZ3</f>
        <v>14</v>
      </c>
      <c r="BC35" s="84" t="s">
        <v>1981</v>
      </c>
      <c r="BD35" s="390">
        <f>ROW(C34)</f>
        <v>34</v>
      </c>
      <c r="BE35" s="390">
        <v>1</v>
      </c>
      <c r="BF35" s="15" t="str">
        <f t="shared" si="11"/>
        <v>111111011</v>
      </c>
      <c r="BG35" s="494"/>
      <c r="BH35" s="494"/>
      <c r="BI35" s="83">
        <v>11101</v>
      </c>
      <c r="BJ35" s="83">
        <f>IF(L33=$BC$2,1,0)</f>
        <v>1</v>
      </c>
      <c r="BK35" s="431">
        <f>AZ35</f>
        <v>0</v>
      </c>
      <c r="BL35" s="2287" t="str">
        <f ca="1">IF($AW35=0,"",INDIRECT(ADDRESS($BD35,BL$8)))</f>
        <v/>
      </c>
      <c r="BM35" s="2287" t="str">
        <f ca="1">IF($AW35=0,"",INDIRECT(ADDRESS($BD35,BM$8)))</f>
        <v/>
      </c>
      <c r="BN35" s="391" t="str">
        <f t="shared" ca="1" si="10"/>
        <v/>
      </c>
      <c r="BO35" s="391" t="str">
        <f t="shared" ca="1" si="10"/>
        <v/>
      </c>
      <c r="BP35" s="388" t="str">
        <f t="shared" ca="1" si="10"/>
        <v/>
      </c>
      <c r="BQ35" s="495"/>
      <c r="BR35" s="83">
        <v>111</v>
      </c>
      <c r="BZ35" s="583" t="s">
        <v>1321</v>
      </c>
      <c r="CA35" s="584" t="str">
        <f t="shared" si="0"/>
        <v>1207428</v>
      </c>
      <c r="CB35" s="585" t="s">
        <v>675</v>
      </c>
      <c r="CD35" s="1062"/>
      <c r="CE35" s="1062"/>
      <c r="CF35" s="1062"/>
      <c r="CG35" s="23"/>
      <c r="CH35" s="49" t="s">
        <v>47</v>
      </c>
      <c r="CI35" s="49" t="s">
        <v>22</v>
      </c>
      <c r="CJ35" s="49">
        <v>15</v>
      </c>
      <c r="CK35" s="49" t="s">
        <v>216</v>
      </c>
      <c r="CL35" s="49" t="s">
        <v>90</v>
      </c>
      <c r="CM35" s="49"/>
      <c r="CN35" s="49"/>
      <c r="CO35" s="50" t="s">
        <v>46</v>
      </c>
      <c r="CP35" s="51" t="str">
        <f>ASC(記入シート1!I55)&amp;"-"&amp;ASC(記入シート1!O55)&amp;"-"&amp;ASC(記入シート1!T55)</f>
        <v>--</v>
      </c>
      <c r="CQ35" s="2"/>
      <c r="CR35" s="52"/>
      <c r="CS35" s="52"/>
      <c r="CT35" s="52"/>
      <c r="CU35" s="212"/>
      <c r="CV35" s="10">
        <f t="shared" si="1"/>
        <v>0</v>
      </c>
      <c r="CW35" s="34" t="s">
        <v>231</v>
      </c>
      <c r="CX35" s="34"/>
      <c r="CY35" s="40" t="s">
        <v>736</v>
      </c>
      <c r="CZ35" s="41" t="s">
        <v>343</v>
      </c>
      <c r="DA35" s="40"/>
      <c r="DB35" s="34" t="str">
        <f t="shared" si="2"/>
        <v>001</v>
      </c>
      <c r="DC35" s="81" t="s">
        <v>232</v>
      </c>
      <c r="DD35" s="34"/>
      <c r="DE35" s="64"/>
      <c r="DF35" s="64"/>
      <c r="DG35" s="64"/>
      <c r="DH35" s="435" t="s">
        <v>3198</v>
      </c>
      <c r="DI35" s="436" t="s">
        <v>3199</v>
      </c>
      <c r="DJ35" s="436"/>
      <c r="DK35" s="75" t="str">
        <f t="shared" si="4"/>
        <v>106242ZY</v>
      </c>
      <c r="DL35" s="78" t="s">
        <v>3644</v>
      </c>
      <c r="DM35" s="78" t="s">
        <v>3209</v>
      </c>
      <c r="DN35" s="227" t="str">
        <f>ASC(AA138)</f>
        <v>0</v>
      </c>
      <c r="DO35" s="18"/>
      <c r="DP35" s="83" t="s">
        <v>1269</v>
      </c>
      <c r="DQ35" s="83" t="s">
        <v>1156</v>
      </c>
      <c r="DR35" s="83" t="s">
        <v>1252</v>
      </c>
      <c r="DS35" s="83" t="s">
        <v>1278</v>
      </c>
      <c r="DT35" s="359" t="s">
        <v>1288</v>
      </c>
      <c r="DU35" s="361"/>
      <c r="DV35" s="23"/>
      <c r="DX35" s="85"/>
      <c r="DY35" s="85"/>
    </row>
    <row r="36" spans="1:129" ht="19.5" hidden="1" customHeight="1" thickBot="1">
      <c r="A36" s="354" t="s">
        <v>1402</v>
      </c>
      <c r="B36" s="181"/>
      <c r="C36" s="726"/>
      <c r="D36" s="733"/>
      <c r="E36" s="733"/>
      <c r="F36" s="733"/>
      <c r="G36" s="733"/>
      <c r="H36" s="733"/>
      <c r="I36" s="733"/>
      <c r="J36" s="733"/>
      <c r="K36" s="733"/>
      <c r="L36" s="1077"/>
      <c r="M36" s="1078"/>
      <c r="N36" s="1079"/>
      <c r="O36" s="1079"/>
      <c r="P36" s="1079"/>
      <c r="Q36" s="2302">
        <v>0</v>
      </c>
      <c r="R36" s="2302"/>
      <c r="S36" s="2302"/>
      <c r="T36" s="2302"/>
      <c r="U36" s="2303">
        <v>0</v>
      </c>
      <c r="V36" s="2303"/>
      <c r="W36" s="2303"/>
      <c r="X36" s="2303"/>
      <c r="Y36" s="2304">
        <v>0</v>
      </c>
      <c r="Z36" s="2304"/>
      <c r="AA36" s="2304"/>
      <c r="AB36" s="2304"/>
      <c r="AC36" s="2304">
        <v>0</v>
      </c>
      <c r="AD36" s="2304"/>
      <c r="AE36" s="2304"/>
      <c r="AF36" s="2304"/>
      <c r="AG36" s="2303">
        <v>0</v>
      </c>
      <c r="AH36" s="2303"/>
      <c r="AI36" s="2303"/>
      <c r="AJ36" s="2303"/>
      <c r="AK36" s="1080"/>
      <c r="AL36" s="1080"/>
      <c r="AM36" s="1080"/>
      <c r="AN36" s="1080"/>
      <c r="AO36" s="1080"/>
      <c r="AP36" s="1080"/>
      <c r="AQ36" s="1080"/>
      <c r="AR36" s="1080"/>
      <c r="AS36" s="1080"/>
      <c r="AT36" s="1081"/>
      <c r="AU36" s="171"/>
      <c r="AV36" s="386"/>
      <c r="AW36" s="387">
        <f>AW35</f>
        <v>0</v>
      </c>
      <c r="AX36" s="387" t="s">
        <v>3624</v>
      </c>
      <c r="AY36" s="493"/>
      <c r="AZ36" s="493"/>
      <c r="BA36" s="83"/>
      <c r="BB36" s="83"/>
      <c r="BC36" s="84" t="s">
        <v>1982</v>
      </c>
      <c r="BD36" s="83">
        <f>BD35</f>
        <v>34</v>
      </c>
      <c r="BE36" s="83">
        <v>2</v>
      </c>
      <c r="BF36" s="15" t="str">
        <f t="shared" si="11"/>
        <v>111111022</v>
      </c>
      <c r="BG36" s="494"/>
      <c r="BH36" s="494"/>
      <c r="BI36" s="83">
        <v>11101</v>
      </c>
      <c r="BJ36" s="83">
        <f t="shared" ref="BJ36" si="12">IF(L33=$BC$2,1,0)</f>
        <v>1</v>
      </c>
      <c r="BK36" s="83">
        <f>AZ35</f>
        <v>0</v>
      </c>
      <c r="BL36" s="2288"/>
      <c r="BM36" s="2288"/>
      <c r="BN36" s="391" t="str">
        <f t="shared" ca="1" si="10"/>
        <v/>
      </c>
      <c r="BO36" s="391" t="str">
        <f t="shared" ca="1" si="10"/>
        <v/>
      </c>
      <c r="BP36" s="388" t="str">
        <f t="shared" ca="1" si="10"/>
        <v/>
      </c>
      <c r="BQ36" s="495"/>
      <c r="BR36" s="83">
        <v>111</v>
      </c>
      <c r="BZ36" s="583" t="s">
        <v>1360</v>
      </c>
      <c r="CA36" s="584" t="str">
        <f t="shared" si="0"/>
        <v>1208450</v>
      </c>
      <c r="CB36" s="585" t="s">
        <v>676</v>
      </c>
      <c r="CD36" s="1062"/>
      <c r="CE36" s="1062"/>
      <c r="CF36" s="1062"/>
      <c r="CG36" s="23"/>
      <c r="CH36" s="49" t="s">
        <v>883</v>
      </c>
      <c r="CI36" s="49" t="s">
        <v>21</v>
      </c>
      <c r="CJ36" s="49">
        <v>255</v>
      </c>
      <c r="CK36" s="49" t="s">
        <v>216</v>
      </c>
      <c r="CL36" s="49" t="s">
        <v>90</v>
      </c>
      <c r="CM36" s="49"/>
      <c r="CN36" s="49"/>
      <c r="CO36" s="50" t="s">
        <v>884</v>
      </c>
      <c r="CP36" s="51"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2"/>
      <c r="CR36" s="52"/>
      <c r="CS36" s="52"/>
      <c r="CT36" s="52"/>
      <c r="CU36" s="212"/>
      <c r="CV36" s="10">
        <f t="shared" si="1"/>
        <v>0</v>
      </c>
      <c r="CW36" s="34" t="s">
        <v>227</v>
      </c>
      <c r="CX36" s="34"/>
      <c r="CY36" s="40" t="s">
        <v>736</v>
      </c>
      <c r="CZ36" s="41" t="s">
        <v>343</v>
      </c>
      <c r="DA36" s="40"/>
      <c r="DB36" s="34" t="str">
        <f t="shared" si="2"/>
        <v>001</v>
      </c>
      <c r="DC36" s="81" t="s">
        <v>228</v>
      </c>
      <c r="DD36" s="34"/>
      <c r="DE36" s="64"/>
      <c r="DF36" s="64"/>
      <c r="DG36" s="64"/>
      <c r="DH36" s="435" t="s">
        <v>3198</v>
      </c>
      <c r="DI36" s="436" t="s">
        <v>3200</v>
      </c>
      <c r="DJ36" s="436"/>
      <c r="DK36" s="75" t="str">
        <f t="shared" si="4"/>
        <v>106242ZX</v>
      </c>
      <c r="DL36" s="78" t="s">
        <v>3644</v>
      </c>
      <c r="DM36" s="78" t="s">
        <v>3210</v>
      </c>
      <c r="DN36" s="227" t="str">
        <f>ASC(V126)</f>
        <v>78980</v>
      </c>
      <c r="DO36" s="18"/>
      <c r="DP36" s="83" t="s">
        <v>1269</v>
      </c>
      <c r="DQ36" s="83" t="s">
        <v>1157</v>
      </c>
      <c r="DR36" s="83" t="s">
        <v>1273</v>
      </c>
      <c r="DS36" s="83" t="s">
        <v>1286</v>
      </c>
      <c r="DT36" s="359" t="s">
        <v>1289</v>
      </c>
      <c r="DU36" s="360"/>
      <c r="DV36" s="23"/>
      <c r="DX36" s="85"/>
      <c r="DY36" s="85"/>
    </row>
    <row r="37" spans="1:129" ht="19.5" hidden="1" customHeight="1" thickTop="1">
      <c r="A37" s="354" t="s">
        <v>1234</v>
      </c>
      <c r="B37" s="181"/>
      <c r="C37" s="134"/>
      <c r="D37" s="134"/>
      <c r="E37" s="134"/>
      <c r="F37" s="134"/>
      <c r="G37" s="134"/>
      <c r="H37" s="134"/>
      <c r="I37" s="134"/>
      <c r="J37" s="134"/>
      <c r="K37" s="134"/>
      <c r="L37" s="732"/>
      <c r="M37" s="732"/>
      <c r="N37" s="111"/>
      <c r="O37" s="111"/>
      <c r="P37" s="111"/>
      <c r="Q37" s="111"/>
      <c r="R37" s="111"/>
      <c r="S37" s="111"/>
      <c r="T37" s="111"/>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171"/>
      <c r="AV37" s="20"/>
      <c r="AW37" s="387">
        <f>AV34*1</f>
        <v>0</v>
      </c>
      <c r="AX37" s="427" t="s">
        <v>3776</v>
      </c>
      <c r="AY37" s="432" t="str">
        <f>TEXT(BR37,"000")</f>
        <v>112</v>
      </c>
      <c r="AZ37" s="432">
        <f>AW37</f>
        <v>0</v>
      </c>
      <c r="BA37" s="390" t="str">
        <f>IF(O35="2回入金","92",IF(O35="1回入金","91",""))</f>
        <v>92</v>
      </c>
      <c r="BB37" s="84" t="str">
        <f>AZ3</f>
        <v>14</v>
      </c>
      <c r="BC37" s="84" t="s">
        <v>3654</v>
      </c>
      <c r="BD37" s="390">
        <f>ROW(C35)</f>
        <v>35</v>
      </c>
      <c r="BE37" s="390">
        <v>1</v>
      </c>
      <c r="BF37" s="15" t="str">
        <f>BR37&amp;BC37&amp;BE37</f>
        <v>112112011</v>
      </c>
      <c r="BG37" s="494"/>
      <c r="BH37" s="494"/>
      <c r="BI37" s="83">
        <v>11201</v>
      </c>
      <c r="BJ37" s="83">
        <f>IF(L34=$BC$2,1,0)</f>
        <v>1</v>
      </c>
      <c r="BK37" s="431">
        <f>AZ37</f>
        <v>0</v>
      </c>
      <c r="BL37" s="2287" t="str">
        <f ca="1">IF($AW37=0,"",INDIRECT(ADDRESS($BD37,BL$8)))</f>
        <v/>
      </c>
      <c r="BM37" s="2287" t="str">
        <f ca="1">IF($AW37=0,"",INDIRECT(ADDRESS($BD37,BM$8)))</f>
        <v/>
      </c>
      <c r="BN37" s="391" t="str">
        <f t="shared" ca="1" si="10"/>
        <v/>
      </c>
      <c r="BO37" s="391" t="str">
        <f t="shared" ca="1" si="10"/>
        <v/>
      </c>
      <c r="BP37" s="388" t="str">
        <f t="shared" ca="1" si="10"/>
        <v/>
      </c>
      <c r="BQ37" s="495"/>
      <c r="BR37" s="83">
        <v>112</v>
      </c>
      <c r="BZ37" s="583" t="s">
        <v>1322</v>
      </c>
      <c r="CA37" s="584" t="str">
        <f t="shared" si="0"/>
        <v>1208622</v>
      </c>
      <c r="CB37" s="585" t="s">
        <v>1373</v>
      </c>
      <c r="CD37" s="1062"/>
      <c r="CE37" s="1062"/>
      <c r="CF37" s="1062"/>
      <c r="CG37" s="23"/>
      <c r="CH37" s="355" t="s">
        <v>1235</v>
      </c>
      <c r="CI37" s="355" t="s">
        <v>22</v>
      </c>
      <c r="CJ37" s="355">
        <v>8</v>
      </c>
      <c r="CK37" s="355"/>
      <c r="CL37" s="355"/>
      <c r="CM37" s="355"/>
      <c r="CN37" s="355"/>
      <c r="CO37" s="50" t="s">
        <v>1236</v>
      </c>
      <c r="CP37" s="51" t="str">
        <f>ASC(記入シート1!J52&amp;"-"&amp;記入シート1!M52)</f>
        <v>-</v>
      </c>
      <c r="CQ37" s="2"/>
      <c r="CR37" s="52"/>
      <c r="CS37" s="52"/>
      <c r="CT37" s="52"/>
      <c r="CU37" s="212"/>
      <c r="CV37" s="10">
        <f t="shared" si="1"/>
        <v>0</v>
      </c>
      <c r="CW37" s="34" t="s">
        <v>224</v>
      </c>
      <c r="CX37" s="34"/>
      <c r="CY37" s="40" t="s">
        <v>736</v>
      </c>
      <c r="CZ37" s="41" t="s">
        <v>343</v>
      </c>
      <c r="DA37" s="40"/>
      <c r="DB37" s="34" t="str">
        <f t="shared" si="2"/>
        <v>001</v>
      </c>
      <c r="DC37" s="81" t="s">
        <v>225</v>
      </c>
      <c r="DD37" s="34"/>
      <c r="DE37" s="64"/>
      <c r="DF37" s="64"/>
      <c r="DG37" s="64"/>
      <c r="DH37" s="435" t="s">
        <v>3198</v>
      </c>
      <c r="DI37" s="436" t="s">
        <v>3201</v>
      </c>
      <c r="DJ37" s="436"/>
      <c r="DK37" s="75" t="str">
        <f t="shared" si="4"/>
        <v>106242ZW</v>
      </c>
      <c r="DL37" s="78" t="s">
        <v>3644</v>
      </c>
      <c r="DM37" s="78" t="s">
        <v>3211</v>
      </c>
      <c r="DN37" s="227" t="str">
        <f>ASC(V127)</f>
        <v>14000</v>
      </c>
      <c r="DO37" s="18"/>
      <c r="DP37" s="359" t="s">
        <v>1269</v>
      </c>
      <c r="DQ37" s="359" t="s">
        <v>1158</v>
      </c>
      <c r="DR37" s="359" t="s">
        <v>1258</v>
      </c>
      <c r="DS37" s="359"/>
      <c r="DT37" s="359" t="s">
        <v>1290</v>
      </c>
      <c r="DU37" s="360"/>
      <c r="DV37" s="23"/>
      <c r="DX37" s="85"/>
      <c r="DY37" s="85"/>
    </row>
    <row r="38" spans="1:129" ht="19.5" hidden="1" customHeight="1">
      <c r="A38" s="354" t="s">
        <v>1234</v>
      </c>
      <c r="B38" s="181"/>
      <c r="C38" s="134"/>
      <c r="D38" s="134"/>
      <c r="E38" s="134"/>
      <c r="F38" s="134"/>
      <c r="G38" s="134"/>
      <c r="H38" s="134"/>
      <c r="I38" s="134"/>
      <c r="J38" s="134"/>
      <c r="K38" s="134"/>
      <c r="L38" s="732"/>
      <c r="M38" s="732"/>
      <c r="N38" s="111"/>
      <c r="O38" s="111"/>
      <c r="P38" s="111"/>
      <c r="Q38" s="111"/>
      <c r="R38" s="111"/>
      <c r="S38" s="111"/>
      <c r="T38" s="111"/>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171"/>
      <c r="AV38" s="386"/>
      <c r="AW38" s="387">
        <f>AW37</f>
        <v>0</v>
      </c>
      <c r="AX38" s="387" t="s">
        <v>3817</v>
      </c>
      <c r="AY38" s="493"/>
      <c r="AZ38" s="493"/>
      <c r="BA38" s="83"/>
      <c r="BB38" s="83"/>
      <c r="BC38" s="84" t="s">
        <v>3655</v>
      </c>
      <c r="BD38" s="83">
        <f>BD37</f>
        <v>35</v>
      </c>
      <c r="BE38" s="83">
        <v>2</v>
      </c>
      <c r="BF38" s="15" t="str">
        <f>BR38&amp;BC38&amp;BE38</f>
        <v>112112022</v>
      </c>
      <c r="BG38" s="494"/>
      <c r="BH38" s="494"/>
      <c r="BI38" s="83">
        <v>11201</v>
      </c>
      <c r="BJ38" s="83">
        <f>IF(L34=$BC$2,1,0)</f>
        <v>1</v>
      </c>
      <c r="BK38" s="83">
        <f>AZ37</f>
        <v>0</v>
      </c>
      <c r="BL38" s="2288"/>
      <c r="BM38" s="2288"/>
      <c r="BN38" s="391" t="str">
        <f t="shared" ca="1" si="10"/>
        <v/>
      </c>
      <c r="BO38" s="391" t="str">
        <f t="shared" ca="1" si="10"/>
        <v/>
      </c>
      <c r="BP38" s="388" t="str">
        <f t="shared" ca="1" si="10"/>
        <v/>
      </c>
      <c r="BQ38" s="495"/>
      <c r="BR38" s="83">
        <v>112</v>
      </c>
      <c r="BZ38" s="583" t="s">
        <v>1361</v>
      </c>
      <c r="CA38" s="584" t="str">
        <f t="shared" si="0"/>
        <v>1208623</v>
      </c>
      <c r="CB38" s="585" t="s">
        <v>677</v>
      </c>
      <c r="CD38" s="1062"/>
      <c r="CE38" s="1062"/>
      <c r="CF38" s="1062"/>
      <c r="CG38" s="23"/>
      <c r="CH38" s="355" t="s">
        <v>1237</v>
      </c>
      <c r="CI38" s="355" t="s">
        <v>22</v>
      </c>
      <c r="CJ38" s="355">
        <v>60</v>
      </c>
      <c r="CK38" s="355"/>
      <c r="CL38" s="355"/>
      <c r="CM38" s="355"/>
      <c r="CN38" s="355"/>
      <c r="CO38" s="50" t="s">
        <v>1238</v>
      </c>
      <c r="CP38" s="51" t="str">
        <f>ASC(記入シート1!J51)&amp;" "&amp;ASC(SUBSTITUTE(SUBSTITUTE(SUBSTITUTE(SUBSTITUTE(SUBSTITUTE(記入シート1!O51,"　","")," ",""),"ヴ","ウﾞ"),"・",""),"－","‐"))&amp;" "&amp;ASC(SUBSTITUTE(SUBSTITUTE(SUBSTITUTE(SUBSTITUTE(SUBSTITUTE(記入シート1!W51,"　","")," ",""),"ヴ","ウﾞ"),"・",""),"－","‐"))&amp;" "&amp;ASC(SUBSTITUTE(SUBSTITUTE(SUBSTITUTE(SUBSTITUTE(SUBSTITUTE(記入シート1!AE51,"　","")," ",""),"ヴ","ウﾞ"),"・",""),"－","‐"))&amp;IF(記入シート1!AM51="",""," "&amp;ASC(SUBSTITUTE(SUBSTITUTE(SUBSTITUTE(SUBSTITUTE(SUBSTITUTE(記入シート1!AM51,"　","")," ",""),"ヴ","ウﾞ"),"・",""),"－","‐")))</f>
        <v xml:space="preserve">(自動表示)   </v>
      </c>
      <c r="CQ38" s="2"/>
      <c r="CR38" s="52"/>
      <c r="CS38" s="52"/>
      <c r="CT38" s="52"/>
      <c r="CU38" s="212"/>
      <c r="CV38" s="10">
        <f t="shared" si="1"/>
        <v>0</v>
      </c>
      <c r="CW38" s="34" t="s">
        <v>723</v>
      </c>
      <c r="CX38" s="34"/>
      <c r="CY38" s="40"/>
      <c r="CZ38" s="41"/>
      <c r="DA38" s="40"/>
      <c r="DB38" s="34" t="str">
        <f t="shared" si="2"/>
        <v>001</v>
      </c>
      <c r="DC38" s="81" t="s">
        <v>221</v>
      </c>
      <c r="DD38" s="34"/>
      <c r="DE38" s="64"/>
      <c r="DF38" s="64"/>
      <c r="DG38" s="64"/>
      <c r="DH38" s="435" t="s">
        <v>3198</v>
      </c>
      <c r="DI38" s="436" t="s">
        <v>3202</v>
      </c>
      <c r="DJ38" s="436"/>
      <c r="DK38" s="75" t="str">
        <f t="shared" si="4"/>
        <v>106242ZV</v>
      </c>
      <c r="DL38" s="78" t="s">
        <v>3644</v>
      </c>
      <c r="DM38" s="78" t="s">
        <v>3212</v>
      </c>
      <c r="DN38" s="227" t="str">
        <f>ASC(V128)</f>
        <v>7000</v>
      </c>
      <c r="DO38" s="18"/>
      <c r="DP38" s="359" t="s">
        <v>1269</v>
      </c>
      <c r="DQ38" s="359" t="s">
        <v>1159</v>
      </c>
      <c r="DR38" s="359" t="s">
        <v>1258</v>
      </c>
      <c r="DS38" s="359"/>
      <c r="DT38" s="359" t="s">
        <v>1291</v>
      </c>
      <c r="DU38" s="360"/>
      <c r="DV38" s="23"/>
      <c r="DX38" s="85"/>
      <c r="DY38" s="85"/>
    </row>
    <row r="39" spans="1:129" ht="19.5" hidden="1" customHeight="1">
      <c r="A39" s="354" t="s">
        <v>1234</v>
      </c>
      <c r="B39" s="181"/>
      <c r="C39" s="134"/>
      <c r="D39" s="134"/>
      <c r="E39" s="134"/>
      <c r="F39" s="134"/>
      <c r="G39" s="134"/>
      <c r="H39" s="134"/>
      <c r="I39" s="134"/>
      <c r="J39" s="134"/>
      <c r="K39" s="134"/>
      <c r="L39" s="732"/>
      <c r="M39" s="732"/>
      <c r="N39" s="111"/>
      <c r="O39" s="111"/>
      <c r="P39" s="111"/>
      <c r="Q39" s="111"/>
      <c r="R39" s="111"/>
      <c r="S39" s="111"/>
      <c r="T39" s="111"/>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171"/>
      <c r="AV39" s="386"/>
      <c r="BZ39" s="583">
        <v>1208682</v>
      </c>
      <c r="CA39" s="584" t="str">
        <f t="shared" si="0"/>
        <v>1208682</v>
      </c>
      <c r="CB39" s="585" t="s">
        <v>678</v>
      </c>
      <c r="CD39" s="1062"/>
      <c r="CE39" s="1062"/>
      <c r="CF39" s="1062"/>
      <c r="CG39" s="24"/>
      <c r="CH39" s="355" t="s">
        <v>1174</v>
      </c>
      <c r="CI39" s="355" t="s">
        <v>22</v>
      </c>
      <c r="CJ39" s="355">
        <v>13</v>
      </c>
      <c r="CK39" s="355"/>
      <c r="CL39" s="355"/>
      <c r="CM39" s="355"/>
      <c r="CN39" s="355"/>
      <c r="CO39" s="50" t="s">
        <v>1239</v>
      </c>
      <c r="CP39" s="51" t="str">
        <f>ASC(記入シート1!I55)&amp;"-"&amp;ASC(記入シート1!O55)&amp;"-"&amp;ASC(記入シート1!T55)</f>
        <v>--</v>
      </c>
      <c r="CQ39" s="2"/>
      <c r="CR39" s="52"/>
      <c r="CS39" s="52"/>
      <c r="CT39" s="52"/>
      <c r="CU39" s="52"/>
      <c r="CV39" s="10">
        <f t="shared" si="1"/>
        <v>0</v>
      </c>
      <c r="CW39" s="34" t="s">
        <v>217</v>
      </c>
      <c r="CX39" s="34"/>
      <c r="CY39" s="40" t="s">
        <v>736</v>
      </c>
      <c r="CZ39" s="41" t="s">
        <v>343</v>
      </c>
      <c r="DA39" s="40"/>
      <c r="DB39" s="34" t="str">
        <f t="shared" si="2"/>
        <v>001</v>
      </c>
      <c r="DC39" s="81" t="s">
        <v>218</v>
      </c>
      <c r="DD39" s="34"/>
      <c r="DE39" s="64"/>
      <c r="DF39" s="64"/>
      <c r="DG39" s="64"/>
      <c r="DH39" s="435" t="s">
        <v>3198</v>
      </c>
      <c r="DI39" s="436" t="s">
        <v>3203</v>
      </c>
      <c r="DJ39" s="436"/>
      <c r="DK39" s="75" t="str">
        <f t="shared" si="4"/>
        <v>106242ZU</v>
      </c>
      <c r="DL39" s="78" t="s">
        <v>3644</v>
      </c>
      <c r="DM39" s="78" t="s">
        <v>3213</v>
      </c>
      <c r="DN39" s="227" t="str">
        <f>ASC(V129)</f>
        <v>12000</v>
      </c>
      <c r="DO39" s="18"/>
      <c r="DP39" s="365" t="s">
        <v>1269</v>
      </c>
      <c r="DQ39" s="365" t="s">
        <v>1160</v>
      </c>
      <c r="DR39" s="365" t="s">
        <v>1258</v>
      </c>
      <c r="DS39" s="359"/>
      <c r="DT39" s="365" t="s">
        <v>1292</v>
      </c>
      <c r="DU39" s="366"/>
      <c r="DV39" s="23"/>
      <c r="DX39" s="85"/>
      <c r="DY39" s="85"/>
    </row>
    <row r="40" spans="1:129" ht="19.5" customHeight="1" thickBot="1">
      <c r="A40" s="354"/>
      <c r="B40" s="181"/>
      <c r="C40" s="273"/>
      <c r="D40" s="273"/>
      <c r="E40" s="273"/>
      <c r="F40" s="273"/>
      <c r="G40" s="273"/>
      <c r="H40" s="273"/>
      <c r="I40" s="273"/>
      <c r="J40" s="273"/>
      <c r="K40" s="273"/>
      <c r="L40" s="732"/>
      <c r="M40" s="732"/>
      <c r="N40" s="111"/>
      <c r="O40" s="111"/>
      <c r="P40" s="111"/>
      <c r="Q40" s="111"/>
      <c r="R40" s="111"/>
      <c r="S40" s="111"/>
      <c r="T40" s="111"/>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171"/>
      <c r="AV40" s="20"/>
      <c r="BZ40" s="583">
        <v>1208945</v>
      </c>
      <c r="CA40" s="584" t="str">
        <f t="shared" si="0"/>
        <v>1208945</v>
      </c>
      <c r="CB40" s="585" t="s">
        <v>679</v>
      </c>
      <c r="CD40" s="1062"/>
      <c r="CE40" s="1062"/>
      <c r="CF40" s="1062"/>
      <c r="CG40" s="23"/>
      <c r="CH40" s="355" t="s">
        <v>1170</v>
      </c>
      <c r="CI40" s="355" t="s">
        <v>63</v>
      </c>
      <c r="CJ40" s="355">
        <v>1</v>
      </c>
      <c r="CK40" s="355"/>
      <c r="CL40" s="355"/>
      <c r="CM40" s="355" t="s">
        <v>1969</v>
      </c>
      <c r="CN40" s="355"/>
      <c r="CO40" s="50" t="s">
        <v>1240</v>
      </c>
      <c r="CP40" s="51" t="str">
        <f>IF(記入シート1!AV21=1,"0","1")</f>
        <v>1</v>
      </c>
      <c r="CQ40" s="2"/>
      <c r="CR40" s="52"/>
      <c r="CS40" s="52"/>
      <c r="CT40" s="52"/>
      <c r="CU40" s="52"/>
      <c r="CV40" s="10">
        <f t="shared" si="1"/>
        <v>0</v>
      </c>
      <c r="CW40" s="34" t="s">
        <v>724</v>
      </c>
      <c r="CX40" s="34"/>
      <c r="CY40" s="40"/>
      <c r="CZ40" s="41"/>
      <c r="DA40" s="40"/>
      <c r="DB40" s="34" t="str">
        <f t="shared" si="2"/>
        <v>001</v>
      </c>
      <c r="DC40" s="81" t="s">
        <v>214</v>
      </c>
      <c r="DD40" s="34"/>
      <c r="DE40" s="64"/>
      <c r="DF40" s="64"/>
      <c r="DG40" s="64"/>
      <c r="DH40" s="435" t="s">
        <v>3198</v>
      </c>
      <c r="DI40" s="436" t="s">
        <v>3204</v>
      </c>
      <c r="DJ40" s="436"/>
      <c r="DK40" s="75" t="str">
        <f t="shared" si="4"/>
        <v>106242ZT</v>
      </c>
      <c r="DL40" s="78" t="s">
        <v>3644</v>
      </c>
      <c r="DM40" s="78" t="s">
        <v>3214</v>
      </c>
      <c r="DN40" s="227" t="str">
        <f>ASC(V133)</f>
        <v>0</v>
      </c>
      <c r="DO40" s="18"/>
      <c r="DP40" s="365" t="s">
        <v>1269</v>
      </c>
      <c r="DQ40" s="365" t="s">
        <v>1161</v>
      </c>
      <c r="DR40" s="365" t="s">
        <v>1258</v>
      </c>
      <c r="DS40" s="359"/>
      <c r="DT40" s="365" t="s">
        <v>1293</v>
      </c>
      <c r="DU40" s="366"/>
      <c r="DV40" s="23"/>
      <c r="DX40" s="85"/>
      <c r="DY40" s="85"/>
    </row>
    <row r="41" spans="1:129" ht="19.5" customHeight="1" thickTop="1">
      <c r="A41" s="354"/>
      <c r="B41" s="181"/>
      <c r="C41" s="1228" t="s">
        <v>449</v>
      </c>
      <c r="D41" s="1229"/>
      <c r="E41" s="1229"/>
      <c r="F41" s="1229"/>
      <c r="G41" s="1229"/>
      <c r="H41" s="1229"/>
      <c r="I41" s="1230"/>
      <c r="J41" s="2190" t="s">
        <v>2059</v>
      </c>
      <c r="K41" s="2191"/>
      <c r="L41" s="2193" t="s">
        <v>2060</v>
      </c>
      <c r="M41" s="2194"/>
      <c r="N41" s="2195"/>
      <c r="O41" s="2199" t="s">
        <v>1059</v>
      </c>
      <c r="P41" s="2200"/>
      <c r="Q41" s="2199" t="s">
        <v>2047</v>
      </c>
      <c r="R41" s="2203"/>
      <c r="S41" s="2203"/>
      <c r="T41" s="2200"/>
      <c r="U41" s="2199" t="s">
        <v>2048</v>
      </c>
      <c r="V41" s="2203"/>
      <c r="W41" s="2203"/>
      <c r="X41" s="2200"/>
      <c r="Y41" s="2199" t="s">
        <v>2049</v>
      </c>
      <c r="Z41" s="2203"/>
      <c r="AA41" s="2203"/>
      <c r="AB41" s="2200"/>
      <c r="AC41" s="2199" t="s">
        <v>2050</v>
      </c>
      <c r="AD41" s="2203"/>
      <c r="AE41" s="2203"/>
      <c r="AF41" s="2200"/>
      <c r="AG41" s="2199" t="s">
        <v>2051</v>
      </c>
      <c r="AH41" s="2203"/>
      <c r="AI41" s="2203"/>
      <c r="AJ41" s="2200"/>
      <c r="AK41" s="2177" t="s">
        <v>2061</v>
      </c>
      <c r="AL41" s="2178"/>
      <c r="AM41" s="2178"/>
      <c r="AN41" s="2178"/>
      <c r="AO41" s="2178"/>
      <c r="AP41" s="2178"/>
      <c r="AQ41" s="2178"/>
      <c r="AR41" s="2178"/>
      <c r="AS41" s="2178"/>
      <c r="AT41" s="2179"/>
      <c r="AU41" s="171"/>
      <c r="AV41" s="20"/>
      <c r="BZ41" s="583" t="s">
        <v>1323</v>
      </c>
      <c r="CA41" s="584" t="str">
        <f t="shared" si="0"/>
        <v>1209993</v>
      </c>
      <c r="CB41" s="585" t="s">
        <v>680</v>
      </c>
      <c r="CD41" s="1062"/>
      <c r="CE41" s="1062"/>
      <c r="CF41" s="1062"/>
      <c r="CG41" s="23"/>
      <c r="CH41" s="355" t="s">
        <v>1171</v>
      </c>
      <c r="CI41" s="355" t="s">
        <v>63</v>
      </c>
      <c r="CJ41" s="355">
        <v>2</v>
      </c>
      <c r="CK41" s="355"/>
      <c r="CL41" s="355"/>
      <c r="CM41" s="355" t="s">
        <v>1241</v>
      </c>
      <c r="CN41" s="355"/>
      <c r="CO41" s="50" t="s">
        <v>1242</v>
      </c>
      <c r="CP41" s="51" t="str">
        <f>TEXT(記入シート1!AV13,"00")</f>
        <v>01</v>
      </c>
      <c r="CQ41" s="2"/>
      <c r="CR41" s="52"/>
      <c r="CS41" s="52"/>
      <c r="CT41" s="52"/>
      <c r="CU41" s="212"/>
      <c r="CV41" s="10">
        <f t="shared" si="1"/>
        <v>0</v>
      </c>
      <c r="CW41" s="34" t="s">
        <v>211</v>
      </c>
      <c r="CX41" s="34"/>
      <c r="CY41" s="40" t="s">
        <v>736</v>
      </c>
      <c r="CZ41" s="41" t="s">
        <v>343</v>
      </c>
      <c r="DA41" s="40"/>
      <c r="DB41" s="34" t="str">
        <f t="shared" si="2"/>
        <v>001</v>
      </c>
      <c r="DC41" s="81" t="s">
        <v>212</v>
      </c>
      <c r="DD41" s="34"/>
      <c r="DE41" s="64"/>
      <c r="DF41" s="64"/>
      <c r="DG41" s="64"/>
      <c r="DH41" s="435" t="s">
        <v>3198</v>
      </c>
      <c r="DI41" s="436" t="s">
        <v>3205</v>
      </c>
      <c r="DJ41" s="436"/>
      <c r="DK41" s="75" t="str">
        <f t="shared" si="4"/>
        <v>106242ZS</v>
      </c>
      <c r="DL41" s="78" t="s">
        <v>3644</v>
      </c>
      <c r="DM41" s="78" t="s">
        <v>3215</v>
      </c>
      <c r="DN41" s="227" t="str">
        <f>ASC(V136)</f>
        <v>0</v>
      </c>
      <c r="DO41" s="18"/>
      <c r="DP41" s="83" t="s">
        <v>1294</v>
      </c>
      <c r="DQ41" s="83" t="s">
        <v>1162</v>
      </c>
      <c r="DR41" s="83" t="s">
        <v>1112</v>
      </c>
      <c r="DS41" s="83" t="s">
        <v>1295</v>
      </c>
      <c r="DT41" s="359" t="s">
        <v>1296</v>
      </c>
      <c r="DU41" s="361"/>
      <c r="DV41" s="23"/>
      <c r="DX41" s="85"/>
      <c r="DY41" s="85"/>
    </row>
    <row r="42" spans="1:129" ht="19.5" customHeight="1">
      <c r="A42" s="354"/>
      <c r="B42" s="181"/>
      <c r="C42" s="1242"/>
      <c r="D42" s="1243"/>
      <c r="E42" s="1243"/>
      <c r="F42" s="1243"/>
      <c r="G42" s="1243"/>
      <c r="H42" s="1243"/>
      <c r="I42" s="1244"/>
      <c r="J42" s="1281"/>
      <c r="K42" s="2192"/>
      <c r="L42" s="2196"/>
      <c r="M42" s="2197"/>
      <c r="N42" s="2198"/>
      <c r="O42" s="2201"/>
      <c r="P42" s="2202"/>
      <c r="Q42" s="2201"/>
      <c r="R42" s="2204"/>
      <c r="S42" s="2204"/>
      <c r="T42" s="2202"/>
      <c r="U42" s="2201"/>
      <c r="V42" s="2204"/>
      <c r="W42" s="2204"/>
      <c r="X42" s="2202"/>
      <c r="Y42" s="2201"/>
      <c r="Z42" s="2204"/>
      <c r="AA42" s="2204"/>
      <c r="AB42" s="2202"/>
      <c r="AC42" s="2201"/>
      <c r="AD42" s="2204"/>
      <c r="AE42" s="2204"/>
      <c r="AF42" s="2202"/>
      <c r="AG42" s="2201"/>
      <c r="AH42" s="2204"/>
      <c r="AI42" s="2204"/>
      <c r="AJ42" s="2202"/>
      <c r="AK42" s="2180"/>
      <c r="AL42" s="2181"/>
      <c r="AM42" s="2181"/>
      <c r="AN42" s="2181"/>
      <c r="AO42" s="2181"/>
      <c r="AP42" s="2181"/>
      <c r="AQ42" s="2181"/>
      <c r="AR42" s="2181"/>
      <c r="AS42" s="2181"/>
      <c r="AT42" s="2182"/>
      <c r="AU42" s="171"/>
      <c r="AV42" s="531" t="b">
        <f>IF(OR(AV43=TRUE,AV59=TRUE),TRUE,FALSE)</f>
        <v>0</v>
      </c>
      <c r="AW42" s="499" t="s">
        <v>3638</v>
      </c>
      <c r="BZ42" s="583" t="s">
        <v>1362</v>
      </c>
      <c r="CA42" s="584" t="str">
        <f t="shared" si="0"/>
        <v>1209994</v>
      </c>
      <c r="CB42" s="585" t="s">
        <v>681</v>
      </c>
      <c r="CD42" s="1062"/>
      <c r="CE42" s="1062"/>
      <c r="CF42" s="1062"/>
      <c r="CG42" s="23"/>
      <c r="CH42" s="355" t="s">
        <v>1172</v>
      </c>
      <c r="CI42" s="355" t="s">
        <v>1173</v>
      </c>
      <c r="CJ42" s="355">
        <v>13</v>
      </c>
      <c r="CK42" s="355"/>
      <c r="CL42" s="355"/>
      <c r="CM42" s="355"/>
      <c r="CN42" s="355"/>
      <c r="CO42" s="50" t="s">
        <v>1243</v>
      </c>
      <c r="CP42" s="51" t="str">
        <f>ASC(記入シート1!AL43)</f>
        <v/>
      </c>
      <c r="CQ42" s="2"/>
      <c r="CR42" s="52"/>
      <c r="CS42" s="52"/>
      <c r="CT42" s="52"/>
      <c r="CU42" s="212"/>
      <c r="CV42" s="10">
        <f t="shared" si="1"/>
        <v>0</v>
      </c>
      <c r="CW42" s="34" t="s">
        <v>208</v>
      </c>
      <c r="CX42" s="34"/>
      <c r="CY42" s="40" t="s">
        <v>736</v>
      </c>
      <c r="CZ42" s="41" t="s">
        <v>343</v>
      </c>
      <c r="DA42" s="40"/>
      <c r="DB42" s="34" t="str">
        <f t="shared" si="2"/>
        <v>001</v>
      </c>
      <c r="DC42" s="81" t="s">
        <v>209</v>
      </c>
      <c r="DD42" s="34"/>
      <c r="DE42" s="64"/>
      <c r="DF42" s="64"/>
      <c r="DG42" s="64"/>
      <c r="DH42" s="435" t="s">
        <v>3198</v>
      </c>
      <c r="DI42" s="436" t="s">
        <v>3206</v>
      </c>
      <c r="DJ42" s="436"/>
      <c r="DK42" s="75" t="str">
        <f t="shared" si="4"/>
        <v>106242ZR</v>
      </c>
      <c r="DL42" s="78" t="s">
        <v>3644</v>
      </c>
      <c r="DM42" s="78" t="s">
        <v>3216</v>
      </c>
      <c r="DN42" s="227" t="str">
        <f>ASC(V137)</f>
        <v>0</v>
      </c>
      <c r="DO42" s="19"/>
      <c r="DP42" s="83" t="s">
        <v>1294</v>
      </c>
      <c r="DQ42" s="83" t="s">
        <v>1163</v>
      </c>
      <c r="DR42" s="83" t="s">
        <v>1297</v>
      </c>
      <c r="DS42" s="83" t="s">
        <v>1298</v>
      </c>
      <c r="DT42" s="359" t="s">
        <v>1299</v>
      </c>
      <c r="DU42" s="361"/>
      <c r="DV42" s="24"/>
      <c r="DX42" s="85"/>
      <c r="DY42" s="85"/>
    </row>
    <row r="43" spans="1:129" ht="19.5" customHeight="1">
      <c r="A43" s="354"/>
      <c r="B43" s="181"/>
      <c r="C43" s="2183" t="s">
        <v>2245</v>
      </c>
      <c r="D43" s="2184"/>
      <c r="E43" s="2184"/>
      <c r="F43" s="2184"/>
      <c r="G43" s="2184"/>
      <c r="H43" s="2184"/>
      <c r="I43" s="2184"/>
      <c r="J43" s="378"/>
      <c r="K43" s="378"/>
      <c r="L43" s="774"/>
      <c r="M43" s="739"/>
      <c r="N43" s="735"/>
      <c r="O43" s="735"/>
      <c r="P43" s="735"/>
      <c r="Q43" s="735"/>
      <c r="R43" s="735"/>
      <c r="S43" s="735"/>
      <c r="T43" s="735"/>
      <c r="U43" s="740"/>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83"/>
      <c r="AU43" s="171"/>
      <c r="AV43" s="531" t="b">
        <f>IF(OR(AV44=TRUE,AV45=TRUE,AV47=TRUE,AV50=TRUE),TRUE,FALSE)</f>
        <v>0</v>
      </c>
      <c r="AW43" s="499" t="s">
        <v>2062</v>
      </c>
      <c r="AY43" s="253" t="s">
        <v>7</v>
      </c>
      <c r="AZ43" s="253" t="s">
        <v>454</v>
      </c>
      <c r="BA43" s="10" t="s">
        <v>908</v>
      </c>
      <c r="BB43" s="10" t="s">
        <v>0</v>
      </c>
      <c r="BC43" s="10" t="s">
        <v>455</v>
      </c>
      <c r="BD43" s="10" t="s">
        <v>975</v>
      </c>
      <c r="BE43" s="10"/>
      <c r="BF43" s="10"/>
      <c r="BG43" s="10"/>
      <c r="BH43" s="10"/>
      <c r="BI43" s="10" t="s">
        <v>456</v>
      </c>
      <c r="BJ43" s="10" t="s">
        <v>457</v>
      </c>
      <c r="BK43" s="10" t="s">
        <v>458</v>
      </c>
      <c r="BL43" s="10" t="s">
        <v>973</v>
      </c>
      <c r="BM43" s="10" t="s">
        <v>974</v>
      </c>
      <c r="BN43" s="10" t="s">
        <v>459</v>
      </c>
      <c r="BO43" s="10" t="s">
        <v>460</v>
      </c>
      <c r="BP43" s="10" t="s">
        <v>461</v>
      </c>
      <c r="BQ43" s="10"/>
      <c r="BR43" s="10" t="s">
        <v>7</v>
      </c>
      <c r="BZ43" s="583" t="s">
        <v>1324</v>
      </c>
      <c r="CA43" s="584" t="str">
        <f t="shared" si="0"/>
        <v>1210249</v>
      </c>
      <c r="CB43" s="585" t="s">
        <v>1374</v>
      </c>
      <c r="CD43" s="108">
        <v>6107</v>
      </c>
      <c r="CE43" s="108" t="s">
        <v>5103</v>
      </c>
      <c r="CF43" s="108">
        <v>6107</v>
      </c>
      <c r="CG43" s="23"/>
      <c r="CH43" s="59" t="s">
        <v>598</v>
      </c>
      <c r="CI43" s="59"/>
      <c r="CJ43" s="59"/>
      <c r="CK43" s="59"/>
      <c r="CL43" s="59"/>
      <c r="CM43" s="59"/>
      <c r="CN43" s="59"/>
      <c r="CO43" s="10"/>
      <c r="CP43" s="10"/>
      <c r="CQ43" s="2"/>
      <c r="CR43" s="52"/>
      <c r="CS43" s="52"/>
      <c r="CT43" s="52"/>
      <c r="CU43" s="52"/>
      <c r="CV43" s="10">
        <f t="shared" si="1"/>
        <v>0</v>
      </c>
      <c r="CW43" s="34" t="s">
        <v>725</v>
      </c>
      <c r="CX43" s="34"/>
      <c r="CY43" s="40"/>
      <c r="CZ43" s="41"/>
      <c r="DA43" s="40"/>
      <c r="DB43" s="34" t="str">
        <f t="shared" si="2"/>
        <v>001</v>
      </c>
      <c r="DC43" s="81" t="s">
        <v>206</v>
      </c>
      <c r="DD43" s="34"/>
      <c r="DE43" s="64"/>
      <c r="DF43" s="64"/>
      <c r="DG43" s="64"/>
      <c r="DH43" s="435" t="s">
        <v>3198</v>
      </c>
      <c r="DI43" s="436" t="s">
        <v>3207</v>
      </c>
      <c r="DJ43" s="436"/>
      <c r="DK43" s="75" t="str">
        <f t="shared" si="4"/>
        <v>106242ZQ</v>
      </c>
      <c r="DL43" s="78" t="s">
        <v>3644</v>
      </c>
      <c r="DM43" s="78" t="s">
        <v>3217</v>
      </c>
      <c r="DN43" s="227" t="str">
        <f>ASC(V135)</f>
        <v>0</v>
      </c>
      <c r="DO43" s="19"/>
      <c r="DP43" s="83" t="s">
        <v>1294</v>
      </c>
      <c r="DQ43" s="83" t="s">
        <v>1164</v>
      </c>
      <c r="DR43" s="83" t="s">
        <v>1112</v>
      </c>
      <c r="DS43" s="83" t="s">
        <v>1295</v>
      </c>
      <c r="DT43" s="50" t="s">
        <v>1165</v>
      </c>
      <c r="DU43" s="227">
        <v>1</v>
      </c>
      <c r="DV43" s="23"/>
      <c r="DX43" s="85"/>
      <c r="DY43" s="85"/>
    </row>
    <row r="44" spans="1:129" ht="19.5" customHeight="1">
      <c r="A44" s="354"/>
      <c r="B44" s="181"/>
      <c r="C44" s="2270" t="s">
        <v>5680</v>
      </c>
      <c r="D44" s="2271"/>
      <c r="E44" s="2271"/>
      <c r="F44" s="2271"/>
      <c r="G44" s="2271"/>
      <c r="H44" s="2271"/>
      <c r="I44" s="2272"/>
      <c r="J44" s="378"/>
      <c r="K44" s="378"/>
      <c r="L44" s="2748" t="s">
        <v>642</v>
      </c>
      <c r="M44" s="2407"/>
      <c r="N44" s="2408"/>
      <c r="O44" s="2747" t="s">
        <v>1071</v>
      </c>
      <c r="P44" s="2747"/>
      <c r="Q44" s="2746">
        <v>0</v>
      </c>
      <c r="R44" s="2746"/>
      <c r="S44" s="2746"/>
      <c r="T44" s="2746"/>
      <c r="U44" s="2746">
        <v>0</v>
      </c>
      <c r="V44" s="2746"/>
      <c r="W44" s="2746"/>
      <c r="X44" s="2746"/>
      <c r="Y44" s="2301">
        <v>0.02</v>
      </c>
      <c r="Z44" s="2301"/>
      <c r="AA44" s="2301"/>
      <c r="AB44" s="2301"/>
      <c r="AC44" s="2301">
        <v>0</v>
      </c>
      <c r="AD44" s="2301"/>
      <c r="AE44" s="2301"/>
      <c r="AF44" s="2301"/>
      <c r="AG44" s="2300">
        <v>0</v>
      </c>
      <c r="AH44" s="2300"/>
      <c r="AI44" s="2300"/>
      <c r="AJ44" s="2300"/>
      <c r="AK44" s="2276" t="str">
        <f>IF(C44="Alipay+","新Alipay+(APS)","")</f>
        <v>新Alipay+(APS)</v>
      </c>
      <c r="AL44" s="2277"/>
      <c r="AM44" s="2277"/>
      <c r="AN44" s="2277"/>
      <c r="AO44" s="2278" t="s">
        <v>5712</v>
      </c>
      <c r="AP44" s="2278"/>
      <c r="AQ44" s="2278"/>
      <c r="AR44" s="2279" t="s">
        <v>5713</v>
      </c>
      <c r="AS44" s="2279"/>
      <c r="AT44" s="2280"/>
      <c r="AU44" s="171"/>
      <c r="AV44" s="386" t="b">
        <v>0</v>
      </c>
      <c r="AW44" s="1091">
        <f>IF(AND(C44="Alipay",AV44=TRUE),1,0)</f>
        <v>0</v>
      </c>
      <c r="AX44" s="387" t="s">
        <v>3809</v>
      </c>
      <c r="AY44" s="387" t="str">
        <f>TEXT(BR44,"000")</f>
        <v>932</v>
      </c>
      <c r="AZ44" s="387">
        <f>AW44</f>
        <v>0</v>
      </c>
      <c r="BA44" s="760" t="str">
        <f>IF(O44="2回入金","92",IF(O44="1回入金","91",""))</f>
        <v>92</v>
      </c>
      <c r="BB44" s="84" t="str">
        <f>$AZ$3</f>
        <v>14</v>
      </c>
      <c r="BC44" s="83" t="s">
        <v>2063</v>
      </c>
      <c r="BD44" s="83">
        <f>ROW(C44)</f>
        <v>44</v>
      </c>
      <c r="BE44" s="83">
        <f>IF(AY44&amp;BC44=AY43&amp;BC43,BE43+1,1)</f>
        <v>1</v>
      </c>
      <c r="BF44" s="83" t="str">
        <f>AY44&amp;BC44&amp;BE44</f>
        <v>932932011</v>
      </c>
      <c r="BG44" s="83"/>
      <c r="BH44" s="83"/>
      <c r="BI44" s="83" t="str">
        <f>BR44&amp;"01"</f>
        <v>93201</v>
      </c>
      <c r="BJ44" s="83">
        <f>IF(L44=$BC$2,1,0)</f>
        <v>1</v>
      </c>
      <c r="BK44" s="83">
        <f>AZ44</f>
        <v>0</v>
      </c>
      <c r="BL44" s="628" t="str">
        <f t="shared" ref="BL44:BP45" ca="1" si="13">IF($AW44=0,"",INDIRECT(ADDRESS($BD44,BL$8)))</f>
        <v/>
      </c>
      <c r="BM44" s="628" t="str">
        <f t="shared" ca="1" si="13"/>
        <v/>
      </c>
      <c r="BN44" s="430" t="str">
        <f t="shared" ca="1" si="13"/>
        <v/>
      </c>
      <c r="BO44" s="430" t="str">
        <f t="shared" ca="1" si="13"/>
        <v/>
      </c>
      <c r="BP44" s="388" t="str">
        <f t="shared" ca="1" si="13"/>
        <v/>
      </c>
      <c r="BQ44" s="431"/>
      <c r="BR44" s="356">
        <v>932</v>
      </c>
      <c r="BZ44" s="583" t="s">
        <v>1363</v>
      </c>
      <c r="CA44" s="584" t="str">
        <f t="shared" si="0"/>
        <v>1210473</v>
      </c>
      <c r="CB44" s="585" t="s">
        <v>682</v>
      </c>
      <c r="CD44" s="108">
        <v>6108</v>
      </c>
      <c r="CE44" s="108" t="s">
        <v>5104</v>
      </c>
      <c r="CF44" s="108">
        <v>6108</v>
      </c>
      <c r="CG44" s="23"/>
      <c r="CH44" s="46" t="s">
        <v>323</v>
      </c>
      <c r="CI44" s="47" t="s">
        <v>586</v>
      </c>
      <c r="CJ44" s="47" t="s">
        <v>321</v>
      </c>
      <c r="CK44" s="46" t="s">
        <v>320</v>
      </c>
      <c r="CL44" s="46" t="s">
        <v>587</v>
      </c>
      <c r="CM44" s="46" t="s">
        <v>326</v>
      </c>
      <c r="CN44" s="46" t="s">
        <v>327</v>
      </c>
      <c r="CO44" s="46" t="s">
        <v>376</v>
      </c>
      <c r="CP44" s="46" t="s">
        <v>377</v>
      </c>
      <c r="CQ44" s="2"/>
      <c r="CR44" s="52"/>
      <c r="CS44" s="52"/>
      <c r="CT44" s="52"/>
      <c r="CU44" s="52"/>
      <c r="CV44" s="10">
        <f t="shared" si="1"/>
        <v>0</v>
      </c>
      <c r="CW44" s="34" t="s">
        <v>204</v>
      </c>
      <c r="CX44" s="34"/>
      <c r="CY44" s="40" t="s">
        <v>736</v>
      </c>
      <c r="CZ44" s="41" t="s">
        <v>343</v>
      </c>
      <c r="DA44" s="40"/>
      <c r="DB44" s="34" t="str">
        <f t="shared" si="2"/>
        <v>001</v>
      </c>
      <c r="DC44" s="81" t="s">
        <v>205</v>
      </c>
      <c r="DD44" s="34"/>
      <c r="DE44" s="64"/>
      <c r="DF44" s="64"/>
      <c r="DG44" s="64"/>
      <c r="DH44" s="435" t="s">
        <v>3198</v>
      </c>
      <c r="DI44" s="436" t="s">
        <v>3208</v>
      </c>
      <c r="DJ44" s="436"/>
      <c r="DK44" s="75" t="str">
        <f t="shared" si="4"/>
        <v>106242ZP</v>
      </c>
      <c r="DL44" s="78" t="s">
        <v>3644</v>
      </c>
      <c r="DM44" s="78" t="s">
        <v>3218</v>
      </c>
      <c r="DN44" s="227" t="str">
        <f>ASC(V138)</f>
        <v>0</v>
      </c>
      <c r="DO44" s="30"/>
      <c r="DP44" s="83" t="s">
        <v>1294</v>
      </c>
      <c r="DQ44" s="83" t="s">
        <v>1166</v>
      </c>
      <c r="DR44" s="83" t="s">
        <v>1297</v>
      </c>
      <c r="DS44" s="83" t="s">
        <v>1298</v>
      </c>
      <c r="DT44" s="50" t="s">
        <v>1167</v>
      </c>
      <c r="DU44" s="227" t="str">
        <f ca="1">TEXT(TODAY(),"yyyymmdd")</f>
        <v>20250616</v>
      </c>
      <c r="DV44" s="23"/>
      <c r="DX44" s="85"/>
      <c r="DY44" s="85"/>
    </row>
    <row r="45" spans="1:129" ht="19.5" customHeight="1">
      <c r="A45" s="354"/>
      <c r="B45" s="181"/>
      <c r="C45" s="2250" t="s">
        <v>2064</v>
      </c>
      <c r="D45" s="2251"/>
      <c r="E45" s="2251"/>
      <c r="F45" s="2251"/>
      <c r="G45" s="2251"/>
      <c r="H45" s="2251"/>
      <c r="I45" s="2261"/>
      <c r="J45" s="378"/>
      <c r="K45" s="378"/>
      <c r="L45" s="2262" t="s">
        <v>642</v>
      </c>
      <c r="M45" s="2263"/>
      <c r="N45" s="2264"/>
      <c r="O45" s="2747" t="s">
        <v>1071</v>
      </c>
      <c r="P45" s="2747"/>
      <c r="Q45" s="2746">
        <v>0</v>
      </c>
      <c r="R45" s="2746"/>
      <c r="S45" s="2746"/>
      <c r="T45" s="2746"/>
      <c r="U45" s="2746">
        <v>0</v>
      </c>
      <c r="V45" s="2746"/>
      <c r="W45" s="2746"/>
      <c r="X45" s="2746"/>
      <c r="Y45" s="2301">
        <v>0.02</v>
      </c>
      <c r="Z45" s="2301"/>
      <c r="AA45" s="2301"/>
      <c r="AB45" s="2301"/>
      <c r="AC45" s="2301">
        <v>0</v>
      </c>
      <c r="AD45" s="2301"/>
      <c r="AE45" s="2301"/>
      <c r="AF45" s="2301"/>
      <c r="AG45" s="2300">
        <v>0</v>
      </c>
      <c r="AH45" s="2300"/>
      <c r="AI45" s="2300"/>
      <c r="AJ45" s="2300"/>
      <c r="AK45" s="784"/>
      <c r="AL45" s="785"/>
      <c r="AM45" s="2284" t="s">
        <v>3263</v>
      </c>
      <c r="AN45" s="2284"/>
      <c r="AO45" s="2284"/>
      <c r="AP45" s="2285" t="s">
        <v>2389</v>
      </c>
      <c r="AQ45" s="2285"/>
      <c r="AR45" s="2285"/>
      <c r="AS45" s="2285"/>
      <c r="AT45" s="2893"/>
      <c r="AU45" s="171"/>
      <c r="AV45" s="386" t="b">
        <v>0</v>
      </c>
      <c r="AW45" s="387">
        <f>IF(AV45=TRUE,AV45*1,0)</f>
        <v>0</v>
      </c>
      <c r="AX45" s="387" t="s">
        <v>3810</v>
      </c>
      <c r="AY45" s="387" t="str">
        <f>TEXT(BR45,"000")</f>
        <v>931</v>
      </c>
      <c r="AZ45" s="387">
        <f>AW45</f>
        <v>0</v>
      </c>
      <c r="BA45" s="83" t="str">
        <f>IF(O45="2回入金","92",IF(O45="1回入金","91",""))</f>
        <v>92</v>
      </c>
      <c r="BB45" s="83" t="str">
        <f>$AZ$3</f>
        <v>14</v>
      </c>
      <c r="BC45" s="83" t="s">
        <v>2065</v>
      </c>
      <c r="BD45" s="83">
        <f>ROW(C45)</f>
        <v>45</v>
      </c>
      <c r="BE45" s="83">
        <f>IF(AY45&amp;BC45=AY44&amp;BC44,BE44+1,1)</f>
        <v>1</v>
      </c>
      <c r="BF45" s="83" t="str">
        <f>AY45&amp;BC45&amp;BE45</f>
        <v>931931011</v>
      </c>
      <c r="BG45" s="83"/>
      <c r="BH45" s="83"/>
      <c r="BI45" s="83" t="str">
        <f>BR45&amp;"01"</f>
        <v>93101</v>
      </c>
      <c r="BJ45" s="83">
        <f>IF(L45=$BC$2,1,0)</f>
        <v>1</v>
      </c>
      <c r="BK45" s="83">
        <f>AZ45</f>
        <v>0</v>
      </c>
      <c r="BL45" s="628" t="str">
        <f t="shared" ca="1" si="13"/>
        <v/>
      </c>
      <c r="BM45" s="628" t="str">
        <f t="shared" ca="1" si="13"/>
        <v/>
      </c>
      <c r="BN45" s="391" t="str">
        <f t="shared" ca="1" si="13"/>
        <v/>
      </c>
      <c r="BO45" s="391" t="str">
        <f t="shared" ca="1" si="13"/>
        <v/>
      </c>
      <c r="BP45" s="388" t="str">
        <f t="shared" ca="1" si="13"/>
        <v/>
      </c>
      <c r="BQ45" s="431"/>
      <c r="BR45" s="83">
        <v>931</v>
      </c>
      <c r="BZ45" s="583" t="s">
        <v>1364</v>
      </c>
      <c r="CA45" s="584" t="str">
        <f t="shared" si="0"/>
        <v>1600945</v>
      </c>
      <c r="CB45" s="585" t="s">
        <v>683</v>
      </c>
      <c r="CD45" s="1062"/>
      <c r="CE45" s="1062"/>
      <c r="CF45" s="1062"/>
      <c r="CG45" s="23"/>
      <c r="CH45" s="49" t="s">
        <v>405</v>
      </c>
      <c r="CI45" s="49" t="s">
        <v>21</v>
      </c>
      <c r="CJ45" s="49" t="s">
        <v>607</v>
      </c>
      <c r="CK45" s="49" t="s">
        <v>216</v>
      </c>
      <c r="CL45" s="49" t="s">
        <v>220</v>
      </c>
      <c r="CM45" s="49"/>
      <c r="CN45" s="49" t="s">
        <v>843</v>
      </c>
      <c r="CO45" s="50" t="s">
        <v>235</v>
      </c>
      <c r="CP45" s="51" t="str">
        <f>DBCS(SUBSTITUTE(SUBSTITUTE(SUBSTITUTE(T(記入シート1!I61),"―","ー"),"－","‐"),"～","ー"))</f>
        <v/>
      </c>
      <c r="CQ45" s="2"/>
      <c r="CR45" s="45"/>
      <c r="CS45" s="45"/>
      <c r="CT45" s="2" t="s">
        <v>583</v>
      </c>
      <c r="CU45" s="45"/>
      <c r="CV45" s="10"/>
      <c r="CW45" s="34" t="s">
        <v>201</v>
      </c>
      <c r="CX45" s="34"/>
      <c r="CY45" s="40" t="s">
        <v>736</v>
      </c>
      <c r="CZ45" s="41" t="s">
        <v>343</v>
      </c>
      <c r="DA45" s="40"/>
      <c r="DB45" s="34" t="str">
        <f t="shared" si="2"/>
        <v>001</v>
      </c>
      <c r="DC45" s="81" t="s">
        <v>202</v>
      </c>
      <c r="DD45" s="34"/>
      <c r="DE45" s="64"/>
      <c r="DF45" s="64"/>
      <c r="DG45" s="64"/>
      <c r="DH45" s="1056" t="s">
        <v>5550</v>
      </c>
      <c r="DI45" s="436" t="s">
        <v>1914</v>
      </c>
      <c r="DJ45" s="436" t="s">
        <v>1924</v>
      </c>
      <c r="DK45" s="75" t="str">
        <f t="shared" si="4"/>
        <v>107012Z1</v>
      </c>
      <c r="DL45" s="1057" t="s">
        <v>5551</v>
      </c>
      <c r="DM45" s="78" t="s">
        <v>1941</v>
      </c>
      <c r="DN45" s="438" t="s">
        <v>2169</v>
      </c>
      <c r="DO45" s="30"/>
      <c r="DP45" s="83" t="s">
        <v>1294</v>
      </c>
      <c r="DQ45" s="83" t="s">
        <v>1168</v>
      </c>
      <c r="DR45" s="83" t="s">
        <v>1273</v>
      </c>
      <c r="DS45" s="83" t="s">
        <v>1300</v>
      </c>
      <c r="DT45" s="359" t="s">
        <v>1301</v>
      </c>
      <c r="DU45" s="361"/>
      <c r="DV45" s="23"/>
      <c r="DX45" s="85"/>
      <c r="DY45" s="85"/>
    </row>
    <row r="46" spans="1:129" ht="19.5" customHeight="1">
      <c r="A46" s="354"/>
      <c r="B46" s="181"/>
      <c r="C46" s="2250" t="s">
        <v>2058</v>
      </c>
      <c r="D46" s="2251"/>
      <c r="E46" s="2251"/>
      <c r="F46" s="2251"/>
      <c r="G46" s="2251"/>
      <c r="H46" s="2251"/>
      <c r="I46" s="2251"/>
      <c r="J46" s="378"/>
      <c r="K46" s="378"/>
      <c r="L46" s="2252"/>
      <c r="M46" s="2253"/>
      <c r="N46" s="2253"/>
      <c r="O46" s="2254"/>
      <c r="P46" s="2254"/>
      <c r="Q46" s="735"/>
      <c r="R46" s="735"/>
      <c r="S46" s="735"/>
      <c r="T46" s="735"/>
      <c r="U46" s="740"/>
      <c r="V46" s="775"/>
      <c r="W46" s="775"/>
      <c r="X46" s="775"/>
      <c r="Y46" s="775"/>
      <c r="Z46" s="775"/>
      <c r="AA46" s="775"/>
      <c r="AB46" s="775"/>
      <c r="AC46" s="775"/>
      <c r="AD46" s="775"/>
      <c r="AE46" s="775"/>
      <c r="AF46" s="775"/>
      <c r="AG46" s="775"/>
      <c r="AH46" s="775"/>
      <c r="AI46" s="775"/>
      <c r="AJ46" s="775"/>
      <c r="AK46" s="775"/>
      <c r="AL46" s="775"/>
      <c r="AM46" s="775"/>
      <c r="AN46" s="775"/>
      <c r="AO46" s="775"/>
      <c r="AP46" s="775"/>
      <c r="AQ46" s="775"/>
      <c r="AR46" s="775"/>
      <c r="AS46" s="775"/>
      <c r="AT46" s="783"/>
      <c r="AU46" s="171"/>
      <c r="AV46" s="691" t="str">
        <f>IF(OR(AP45="",LEFT(AP45,2)="00"),"",LEFT(AP45,2))</f>
        <v/>
      </c>
      <c r="AW46" s="253"/>
      <c r="AX46" s="253"/>
      <c r="AY46" s="253"/>
      <c r="AZ46" s="253"/>
      <c r="BA46" s="10"/>
      <c r="BB46" s="10"/>
      <c r="BC46" s="10"/>
      <c r="BD46" s="10"/>
      <c r="BE46" s="10"/>
      <c r="BF46" s="10"/>
      <c r="BG46" s="10"/>
      <c r="BH46" s="10"/>
      <c r="BI46" s="10"/>
      <c r="BJ46" s="10"/>
      <c r="BK46" s="10"/>
      <c r="BL46" s="10"/>
      <c r="BM46" s="10"/>
      <c r="BN46" s="10"/>
      <c r="BO46" s="10"/>
      <c r="BP46" s="10"/>
      <c r="BQ46" s="10"/>
      <c r="BR46" s="10"/>
      <c r="BZ46" s="583" t="s">
        <v>1365</v>
      </c>
      <c r="CA46" s="584" t="str">
        <f>TEXT(BZ46,"0000000")</f>
        <v>1601605</v>
      </c>
      <c r="CB46" s="585" t="s">
        <v>684</v>
      </c>
      <c r="CD46" s="1062"/>
      <c r="CE46" s="1062"/>
      <c r="CF46" s="1062"/>
      <c r="CG46" s="23"/>
      <c r="CH46" s="49" t="s">
        <v>230</v>
      </c>
      <c r="CI46" s="49" t="s">
        <v>22</v>
      </c>
      <c r="CJ46" s="49">
        <v>100</v>
      </c>
      <c r="CK46" s="49" t="s">
        <v>216</v>
      </c>
      <c r="CL46" s="49" t="s">
        <v>410</v>
      </c>
      <c r="CM46" s="49"/>
      <c r="CN46" s="49"/>
      <c r="CO46" s="50" t="s">
        <v>229</v>
      </c>
      <c r="CP46" s="51" t="str">
        <f>ASC(SUBSTITUTE(SUBSTITUTE(SUBSTITUTE(SUBSTITUTE(T(記入シート1!I60),"ヴ","ウﾞ"),"―","ー"),"－","‐"),"～","ー"))</f>
        <v/>
      </c>
      <c r="CQ46" s="2"/>
      <c r="CR46" s="45"/>
      <c r="CS46" s="45"/>
      <c r="CT46" s="45"/>
      <c r="CU46" s="45"/>
      <c r="CV46" s="10"/>
      <c r="CW46" s="34" t="s">
        <v>726</v>
      </c>
      <c r="CX46" s="34"/>
      <c r="CY46" s="40"/>
      <c r="CZ46" s="41"/>
      <c r="DA46" s="40"/>
      <c r="DB46" s="34" t="str">
        <f t="shared" si="2"/>
        <v>001</v>
      </c>
      <c r="DC46" s="81" t="s">
        <v>199</v>
      </c>
      <c r="DD46" s="34"/>
      <c r="DE46" s="64"/>
      <c r="DF46" s="64"/>
      <c r="DG46" s="64"/>
      <c r="DH46" s="1056" t="s">
        <v>5550</v>
      </c>
      <c r="DI46" s="436" t="s">
        <v>1915</v>
      </c>
      <c r="DJ46" s="436" t="s">
        <v>1913</v>
      </c>
      <c r="DK46" s="75" t="str">
        <f t="shared" ref="DK46:DK109" si="14">DL46&amp;DM46</f>
        <v>107012Z3</v>
      </c>
      <c r="DL46" s="1057" t="s">
        <v>5551</v>
      </c>
      <c r="DM46" s="78" t="s">
        <v>1942</v>
      </c>
      <c r="DN46" s="438" t="s">
        <v>5515</v>
      </c>
      <c r="DO46" s="30"/>
      <c r="DP46" s="30"/>
      <c r="DQ46" s="367"/>
      <c r="DR46" s="367"/>
      <c r="DS46" s="367"/>
      <c r="DT46" s="367"/>
      <c r="DU46" s="367"/>
      <c r="DV46" s="23"/>
      <c r="DX46" s="85"/>
      <c r="DY46" s="85"/>
    </row>
    <row r="47" spans="1:129" ht="19.5" customHeight="1">
      <c r="A47" s="354"/>
      <c r="B47" s="181"/>
      <c r="C47" s="2211">
        <v>1</v>
      </c>
      <c r="D47" s="2212"/>
      <c r="E47" s="2212"/>
      <c r="F47" s="528" t="s">
        <v>2066</v>
      </c>
      <c r="G47" s="2212">
        <v>14999</v>
      </c>
      <c r="H47" s="2212"/>
      <c r="I47" s="2213"/>
      <c r="J47" s="532"/>
      <c r="K47" s="514"/>
      <c r="L47" s="2765" t="s">
        <v>642</v>
      </c>
      <c r="M47" s="2766"/>
      <c r="N47" s="2767"/>
      <c r="O47" s="2769" t="s">
        <v>1071</v>
      </c>
      <c r="P47" s="2770"/>
      <c r="Q47" s="2808">
        <v>0</v>
      </c>
      <c r="R47" s="2809"/>
      <c r="S47" s="2809"/>
      <c r="T47" s="2810"/>
      <c r="U47" s="2808">
        <v>0</v>
      </c>
      <c r="V47" s="2809"/>
      <c r="W47" s="2809"/>
      <c r="X47" s="2810"/>
      <c r="Y47" s="2301">
        <v>0.02</v>
      </c>
      <c r="Z47" s="2301"/>
      <c r="AA47" s="2301"/>
      <c r="AB47" s="2301"/>
      <c r="AC47" s="2301">
        <v>0</v>
      </c>
      <c r="AD47" s="2301"/>
      <c r="AE47" s="2301"/>
      <c r="AF47" s="2301"/>
      <c r="AG47" s="2300">
        <v>0</v>
      </c>
      <c r="AH47" s="2300"/>
      <c r="AI47" s="2300"/>
      <c r="AJ47" s="2300"/>
      <c r="AK47" s="775"/>
      <c r="AL47" s="775"/>
      <c r="AM47" s="775"/>
      <c r="AN47" s="775"/>
      <c r="AO47" s="775"/>
      <c r="AP47" s="775"/>
      <c r="AQ47" s="775"/>
      <c r="AR47" s="775"/>
      <c r="AS47" s="775"/>
      <c r="AT47" s="783"/>
      <c r="AU47" s="171"/>
      <c r="AV47" s="386" t="b">
        <v>0</v>
      </c>
      <c r="AW47" s="387">
        <f>IF(AV47=TRUE,AV47*1,0)</f>
        <v>0</v>
      </c>
      <c r="AX47" s="387" t="s">
        <v>3811</v>
      </c>
      <c r="AY47" s="387" t="str">
        <f>TEXT(BR47,"000")</f>
        <v>935</v>
      </c>
      <c r="AZ47" s="387">
        <f>AW47</f>
        <v>0</v>
      </c>
      <c r="BA47" s="83" t="str">
        <f>IF(O47="2回入金","92",IF(O47="1回入金","91",""))</f>
        <v>92</v>
      </c>
      <c r="BB47" s="83" t="str">
        <f>$AZ$3</f>
        <v>14</v>
      </c>
      <c r="BC47" s="83" t="s">
        <v>2067</v>
      </c>
      <c r="BD47" s="83">
        <f>ROW(C47)</f>
        <v>47</v>
      </c>
      <c r="BE47" s="83">
        <f>IF(AY47&amp;BC47=AY46&amp;BC46,BE46+1,1)</f>
        <v>1</v>
      </c>
      <c r="BF47" s="83" t="str">
        <f>AY47&amp;BC47&amp;BE47</f>
        <v>935000001</v>
      </c>
      <c r="BG47" s="83">
        <f>C47</f>
        <v>1</v>
      </c>
      <c r="BH47" s="83">
        <f>IF(BG47&gt;0,IF(LEN(G47)=0,999999999,VALUE(G47)*1),IF(LEN(G47)=0,0,VALUE(G47)*1))</f>
        <v>14999</v>
      </c>
      <c r="BI47" s="83" t="str">
        <f>BR47&amp;"01"</f>
        <v>93501</v>
      </c>
      <c r="BJ47" s="83">
        <f>IF(L47=$BC$2,1,0)</f>
        <v>1</v>
      </c>
      <c r="BK47" s="83">
        <f>AZ47</f>
        <v>0</v>
      </c>
      <c r="BL47" s="2206" t="str">
        <f ca="1">IF($AW47=0,"",INDIRECT(ADDRESS($BD47,BL$8)))</f>
        <v/>
      </c>
      <c r="BM47" s="2206" t="str">
        <f ca="1">IF($AW47=0,"",INDIRECT(ADDRESS($BD47,BM$8)))</f>
        <v/>
      </c>
      <c r="BN47" s="430" t="str">
        <f ca="1">IF($AW47=0,"",INDIRECT(ADDRESS($BD47,BN$8)))</f>
        <v/>
      </c>
      <c r="BO47" s="430" t="str">
        <f ca="1">IF($AW47=0,"",INDIRECT(ADDRESS($BD47,BO$8)))</f>
        <v/>
      </c>
      <c r="BP47" s="388" t="str">
        <f ca="1">IF($AW47=0,"",INDIRECT(ADDRESS($BD47,BP$8)))</f>
        <v/>
      </c>
      <c r="BQ47" s="431"/>
      <c r="BR47" s="83">
        <v>935</v>
      </c>
      <c r="BZ47" s="583" t="s">
        <v>1366</v>
      </c>
      <c r="CA47" s="584" t="str">
        <f t="shared" si="0"/>
        <v>1601607</v>
      </c>
      <c r="CB47" s="585" t="s">
        <v>685</v>
      </c>
      <c r="CD47" s="108">
        <v>6171</v>
      </c>
      <c r="CE47" s="108" t="s">
        <v>5557</v>
      </c>
      <c r="CF47" s="108">
        <v>6171</v>
      </c>
      <c r="CG47" s="23"/>
      <c r="CH47" s="49" t="s">
        <v>415</v>
      </c>
      <c r="CI47" s="49" t="s">
        <v>21</v>
      </c>
      <c r="CJ47" s="49">
        <v>100</v>
      </c>
      <c r="CK47" s="49" t="s">
        <v>216</v>
      </c>
      <c r="CL47" s="49" t="s">
        <v>90</v>
      </c>
      <c r="CM47" s="49"/>
      <c r="CN47" s="49" t="s">
        <v>606</v>
      </c>
      <c r="CO47" s="50" t="s">
        <v>233</v>
      </c>
      <c r="CP47" s="51" t="str">
        <f>DBCS(SUBSTITUTE(SUBSTITUTE(SUBSTITUTE(T(記入シート1!I61),"―","ー"),"－","‐"),"～","ー"))</f>
        <v/>
      </c>
      <c r="CQ47" s="2"/>
      <c r="CR47" s="45"/>
      <c r="CS47" s="45"/>
      <c r="CT47" s="45"/>
      <c r="CU47" s="45"/>
      <c r="CV47" s="10"/>
      <c r="CW47" s="34" t="s">
        <v>197</v>
      </c>
      <c r="CX47" s="34"/>
      <c r="CY47" s="40" t="s">
        <v>736</v>
      </c>
      <c r="CZ47" s="41" t="s">
        <v>343</v>
      </c>
      <c r="DA47" s="40"/>
      <c r="DB47" s="34" t="str">
        <f t="shared" si="2"/>
        <v>001</v>
      </c>
      <c r="DC47" s="81" t="s">
        <v>198</v>
      </c>
      <c r="DD47" s="34"/>
      <c r="DE47" s="64"/>
      <c r="DF47" s="64"/>
      <c r="DG47" s="64"/>
      <c r="DH47" s="435" t="s">
        <v>1916</v>
      </c>
      <c r="DI47" s="436" t="s">
        <v>1917</v>
      </c>
      <c r="DJ47" s="436" t="s">
        <v>1925</v>
      </c>
      <c r="DK47" s="75" t="str">
        <f t="shared" si="14"/>
        <v>10801302</v>
      </c>
      <c r="DL47" s="78" t="s">
        <v>1963</v>
      </c>
      <c r="DM47" s="78" t="s">
        <v>1943</v>
      </c>
      <c r="DN47" s="438" t="str">
        <f ca="1">IF(ASC(AW25)="0","",ASC(AW25))</f>
        <v/>
      </c>
      <c r="DO47" s="30"/>
      <c r="DP47" s="30"/>
      <c r="DQ47" s="367"/>
      <c r="DR47" s="367"/>
      <c r="DS47" s="367"/>
      <c r="DT47" s="367"/>
      <c r="DU47" s="367"/>
      <c r="DV47" s="23"/>
      <c r="DX47" s="85"/>
      <c r="DY47" s="85"/>
    </row>
    <row r="48" spans="1:129" ht="19.5" customHeight="1">
      <c r="A48" s="354"/>
      <c r="B48" s="181"/>
      <c r="C48" s="2207">
        <v>15000</v>
      </c>
      <c r="D48" s="2208"/>
      <c r="E48" s="2208"/>
      <c r="F48" s="516" t="s">
        <v>2068</v>
      </c>
      <c r="G48" s="2209"/>
      <c r="H48" s="2209"/>
      <c r="I48" s="2210"/>
      <c r="J48" s="533"/>
      <c r="K48" s="134"/>
      <c r="L48" s="2217"/>
      <c r="M48" s="2218"/>
      <c r="N48" s="2219"/>
      <c r="O48" s="2771"/>
      <c r="P48" s="2772"/>
      <c r="Q48" s="2811"/>
      <c r="R48" s="2812"/>
      <c r="S48" s="2812"/>
      <c r="T48" s="2813"/>
      <c r="U48" s="2811"/>
      <c r="V48" s="2812"/>
      <c r="W48" s="2812"/>
      <c r="X48" s="2813"/>
      <c r="Y48" s="2301">
        <v>0.02</v>
      </c>
      <c r="Z48" s="2301"/>
      <c r="AA48" s="2301"/>
      <c r="AB48" s="2301"/>
      <c r="AC48" s="2301">
        <v>0</v>
      </c>
      <c r="AD48" s="2301"/>
      <c r="AE48" s="2301"/>
      <c r="AF48" s="2301"/>
      <c r="AG48" s="2300">
        <v>0</v>
      </c>
      <c r="AH48" s="2300"/>
      <c r="AI48" s="2300"/>
      <c r="AJ48" s="2300"/>
      <c r="AK48" s="775"/>
      <c r="AL48" s="775"/>
      <c r="AM48" s="775"/>
      <c r="AN48" s="775"/>
      <c r="AO48" s="775"/>
      <c r="AP48" s="775"/>
      <c r="AQ48" s="775"/>
      <c r="AR48" s="775"/>
      <c r="AS48" s="775"/>
      <c r="AT48" s="783"/>
      <c r="AU48" s="171"/>
      <c r="AV48" s="20"/>
      <c r="AW48" s="387">
        <f>AW47</f>
        <v>0</v>
      </c>
      <c r="AX48" s="387"/>
      <c r="AY48" s="387" t="str">
        <f>TEXT(BR48,"000")</f>
        <v>935</v>
      </c>
      <c r="AZ48" s="387">
        <f>AW48</f>
        <v>0</v>
      </c>
      <c r="BA48" s="83"/>
      <c r="BB48" s="83" t="str">
        <f>$AZ$3</f>
        <v>14</v>
      </c>
      <c r="BC48" s="83" t="s">
        <v>2067</v>
      </c>
      <c r="BD48" s="83">
        <f>ROW(C48)</f>
        <v>48</v>
      </c>
      <c r="BE48" s="83">
        <f>IF(AY48&amp;BC48=AY47&amp;BC47,BE47+1,1)</f>
        <v>2</v>
      </c>
      <c r="BF48" s="83" t="str">
        <f>AY48&amp;BC48&amp;BE48</f>
        <v>935000002</v>
      </c>
      <c r="BG48" s="83">
        <f>C48</f>
        <v>15000</v>
      </c>
      <c r="BH48" s="534">
        <f>IF(BG48&gt;0,IF(LEN(G48)=0,999999999,VALUE(G48)*1),IF(LEN(G48)=0,0,VALUE(G48)*1))</f>
        <v>999999999</v>
      </c>
      <c r="BI48" s="83" t="str">
        <f>BR48&amp;"01"</f>
        <v>93501</v>
      </c>
      <c r="BJ48" s="83">
        <f>BJ47</f>
        <v>1</v>
      </c>
      <c r="BK48" s="83">
        <f>AZ48</f>
        <v>0</v>
      </c>
      <c r="BL48" s="2206"/>
      <c r="BM48" s="2206"/>
      <c r="BN48" s="430" t="str">
        <f t="shared" ref="BN48:BP50" ca="1" si="15">IF($AW48=0,"",INDIRECT(ADDRESS($BD48,BN$8)))</f>
        <v/>
      </c>
      <c r="BO48" s="430" t="str">
        <f t="shared" ca="1" si="15"/>
        <v/>
      </c>
      <c r="BP48" s="388" t="str">
        <f t="shared" ca="1" si="15"/>
        <v/>
      </c>
      <c r="BQ48" s="431"/>
      <c r="BR48" s="83">
        <v>935</v>
      </c>
      <c r="BZ48" s="583" t="s">
        <v>1325</v>
      </c>
      <c r="CA48" s="584" t="str">
        <f t="shared" si="0"/>
        <v>1602484</v>
      </c>
      <c r="CB48" s="585" t="s">
        <v>686</v>
      </c>
      <c r="CD48" s="108">
        <v>6112</v>
      </c>
      <c r="CE48" s="108" t="s">
        <v>5645</v>
      </c>
      <c r="CF48" s="108">
        <v>6112</v>
      </c>
      <c r="CG48" s="23"/>
      <c r="CH48" s="49" t="s">
        <v>416</v>
      </c>
      <c r="CI48" s="49" t="s">
        <v>22</v>
      </c>
      <c r="CJ48" s="49">
        <v>100</v>
      </c>
      <c r="CK48" s="49" t="s">
        <v>216</v>
      </c>
      <c r="CL48" s="49" t="s">
        <v>90</v>
      </c>
      <c r="CM48" s="49"/>
      <c r="CN48" s="49"/>
      <c r="CO48" s="50" t="s">
        <v>226</v>
      </c>
      <c r="CP48" s="51" t="str">
        <f>UPPER(ASC(SUBSTITUTE(SUBSTITUTE(SUBSTITUTE(T(記入シート1!I64),"―","ー"),"－","‐"),"～","ー")))</f>
        <v/>
      </c>
      <c r="CQ48" s="2"/>
      <c r="CR48" s="45"/>
      <c r="CS48" s="45"/>
      <c r="CT48" s="45"/>
      <c r="CU48" s="45"/>
      <c r="CV48" s="10"/>
      <c r="CW48" s="34" t="s">
        <v>194</v>
      </c>
      <c r="CX48" s="34"/>
      <c r="CY48" s="40" t="s">
        <v>736</v>
      </c>
      <c r="CZ48" s="41" t="s">
        <v>343</v>
      </c>
      <c r="DA48" s="40"/>
      <c r="DB48" s="34" t="str">
        <f t="shared" si="2"/>
        <v>001</v>
      </c>
      <c r="DC48" s="81" t="s">
        <v>195</v>
      </c>
      <c r="DD48" s="34"/>
      <c r="DE48" s="64"/>
      <c r="DF48" s="64"/>
      <c r="DG48" s="64"/>
      <c r="DH48" s="435" t="s">
        <v>1916</v>
      </c>
      <c r="DI48" s="436" t="s">
        <v>1918</v>
      </c>
      <c r="DJ48" s="436" t="s">
        <v>1903</v>
      </c>
      <c r="DK48" s="75" t="str">
        <f t="shared" si="14"/>
        <v>10801303</v>
      </c>
      <c r="DL48" s="78" t="s">
        <v>1963</v>
      </c>
      <c r="DM48" s="78" t="s">
        <v>1944</v>
      </c>
      <c r="DN48" s="438" t="str">
        <f>IF(記入シート1!AV69=TRUE,記入シート1!AV36,記入シート1!AV72)</f>
        <v>00</v>
      </c>
      <c r="DO48" s="30"/>
      <c r="DP48" s="30"/>
      <c r="DQ48" s="367"/>
      <c r="DR48" s="367"/>
      <c r="DS48" s="367"/>
      <c r="DT48" s="367"/>
      <c r="DU48" s="367"/>
      <c r="DV48" s="23"/>
      <c r="DX48" s="85"/>
      <c r="DY48" s="85"/>
    </row>
    <row r="49" spans="1:129" ht="19.5" hidden="1" customHeight="1">
      <c r="A49" s="354" t="s">
        <v>1234</v>
      </c>
      <c r="B49" s="181"/>
      <c r="C49" s="2207"/>
      <c r="D49" s="2208"/>
      <c r="E49" s="2208"/>
      <c r="F49" s="516" t="s">
        <v>2068</v>
      </c>
      <c r="G49" s="2208"/>
      <c r="H49" s="2208"/>
      <c r="I49" s="2242"/>
      <c r="J49" s="535"/>
      <c r="K49" s="513"/>
      <c r="L49" s="2220"/>
      <c r="M49" s="2221"/>
      <c r="N49" s="2222"/>
      <c r="O49" s="2773"/>
      <c r="P49" s="2774"/>
      <c r="Q49" s="2884"/>
      <c r="R49" s="2885"/>
      <c r="S49" s="2885"/>
      <c r="T49" s="2886"/>
      <c r="U49" s="2884"/>
      <c r="V49" s="2885"/>
      <c r="W49" s="2885"/>
      <c r="X49" s="2886"/>
      <c r="Y49" s="2301">
        <v>0</v>
      </c>
      <c r="Z49" s="2301"/>
      <c r="AA49" s="2301"/>
      <c r="AB49" s="2301"/>
      <c r="AC49" s="2301">
        <v>0</v>
      </c>
      <c r="AD49" s="2301"/>
      <c r="AE49" s="2301"/>
      <c r="AF49" s="2301"/>
      <c r="AG49" s="2300">
        <v>0</v>
      </c>
      <c r="AH49" s="2300"/>
      <c r="AI49" s="2300"/>
      <c r="AJ49" s="2300"/>
      <c r="AK49" s="775"/>
      <c r="AL49" s="775"/>
      <c r="AM49" s="775"/>
      <c r="AN49" s="775"/>
      <c r="AO49" s="775"/>
      <c r="AP49" s="775"/>
      <c r="AQ49" s="775"/>
      <c r="AR49" s="775"/>
      <c r="AS49" s="775"/>
      <c r="AT49" s="783"/>
      <c r="AU49" s="171"/>
      <c r="AV49" s="20"/>
      <c r="AW49" s="387">
        <f>AW48</f>
        <v>0</v>
      </c>
      <c r="AX49" s="387"/>
      <c r="AY49" s="387" t="str">
        <f>TEXT(BR49,"000")</f>
        <v>935</v>
      </c>
      <c r="AZ49" s="387">
        <f>AW49</f>
        <v>0</v>
      </c>
      <c r="BA49" s="83"/>
      <c r="BB49" s="83" t="str">
        <f>$AZ$3</f>
        <v>14</v>
      </c>
      <c r="BC49" s="83" t="s">
        <v>2067</v>
      </c>
      <c r="BD49" s="83">
        <f>ROW(C49)</f>
        <v>49</v>
      </c>
      <c r="BE49" s="83">
        <f>IF(AY49&amp;BC49=AY48&amp;BC48,BE48+1,1)</f>
        <v>3</v>
      </c>
      <c r="BF49" s="83" t="str">
        <f>AY49&amp;BC49&amp;BE49</f>
        <v>935000003</v>
      </c>
      <c r="BG49" s="83">
        <f>C49</f>
        <v>0</v>
      </c>
      <c r="BH49" s="83">
        <f>IF(BG49&gt;0,IF(LEN(G49)=0,999999999,VALUE(G49)*1),IF(LEN(G49)=0,0,VALUE(G49)*1))</f>
        <v>0</v>
      </c>
      <c r="BI49" s="83" t="str">
        <f>BR49&amp;"01"</f>
        <v>93501</v>
      </c>
      <c r="BJ49" s="83">
        <f>BJ48</f>
        <v>1</v>
      </c>
      <c r="BK49" s="83">
        <f>AZ49</f>
        <v>0</v>
      </c>
      <c r="BL49" s="2206"/>
      <c r="BM49" s="2206"/>
      <c r="BN49" s="430" t="str">
        <f t="shared" ca="1" si="15"/>
        <v/>
      </c>
      <c r="BO49" s="430" t="str">
        <f t="shared" ca="1" si="15"/>
        <v/>
      </c>
      <c r="BP49" s="388" t="str">
        <f t="shared" ca="1" si="15"/>
        <v/>
      </c>
      <c r="BQ49" s="431"/>
      <c r="BR49" s="83">
        <v>935</v>
      </c>
      <c r="BY49" s="11"/>
      <c r="BZ49" s="583">
        <v>1602485</v>
      </c>
      <c r="CA49" s="584" t="str">
        <f t="shared" ref="CA49:CA62" si="16">TEXT(BZ49,"0000000")</f>
        <v>1602485</v>
      </c>
      <c r="CB49" s="585" t="s">
        <v>687</v>
      </c>
      <c r="CD49" s="108">
        <v>6035</v>
      </c>
      <c r="CE49" s="108" t="s">
        <v>5644</v>
      </c>
      <c r="CF49" s="108">
        <v>6035</v>
      </c>
      <c r="CG49" s="23"/>
      <c r="CH49" s="49" t="s">
        <v>24</v>
      </c>
      <c r="CI49" s="49" t="s">
        <v>22</v>
      </c>
      <c r="CJ49" s="49">
        <v>8</v>
      </c>
      <c r="CK49" s="49" t="s">
        <v>216</v>
      </c>
      <c r="CL49" s="49" t="s">
        <v>90</v>
      </c>
      <c r="CM49" s="49"/>
      <c r="CN49" s="49"/>
      <c r="CO49" s="50" t="s">
        <v>556</v>
      </c>
      <c r="CP49" s="51" t="str">
        <f>IF(記入シート1!AV69=TRUE,CP20,ASC(記入シート1!J71&amp;"-"&amp;記入シート1!M71))</f>
        <v>-</v>
      </c>
      <c r="CQ49" s="2"/>
      <c r="CR49" s="45"/>
      <c r="CS49" s="45"/>
      <c r="CT49" s="45"/>
      <c r="CU49" s="45"/>
      <c r="CV49" s="10"/>
      <c r="CW49" s="8" t="s">
        <v>4380</v>
      </c>
      <c r="CX49" s="8"/>
      <c r="CY49" s="903" t="s">
        <v>4384</v>
      </c>
      <c r="CZ49" s="904" t="s">
        <v>4383</v>
      </c>
      <c r="DA49" s="904"/>
      <c r="DB49" s="71" t="str">
        <f t="shared" si="2"/>
        <v>001</v>
      </c>
      <c r="DC49" s="101" t="s">
        <v>4146</v>
      </c>
      <c r="DD49" s="72" t="str">
        <f>IF(AV42=FALSE,"",IF(AV82=2,2,1))</f>
        <v/>
      </c>
      <c r="DE49" s="64"/>
      <c r="DF49" s="64"/>
      <c r="DG49" s="64"/>
      <c r="DH49" s="435" t="s">
        <v>1916</v>
      </c>
      <c r="DI49" s="436" t="s">
        <v>1922</v>
      </c>
      <c r="DJ49" s="436" t="s">
        <v>1925</v>
      </c>
      <c r="DK49" s="75" t="str">
        <f t="shared" si="14"/>
        <v>10801304</v>
      </c>
      <c r="DL49" s="78" t="s">
        <v>1963</v>
      </c>
      <c r="DM49" s="78" t="s">
        <v>1945</v>
      </c>
      <c r="DN49" s="438" t="str">
        <f>"11301027"</f>
        <v>11301027</v>
      </c>
      <c r="DO49" s="30"/>
      <c r="DP49" s="30"/>
      <c r="DQ49" s="367"/>
      <c r="DR49" s="367"/>
      <c r="DS49" s="367"/>
      <c r="DT49" s="367"/>
      <c r="DU49" s="367"/>
      <c r="DV49" s="23"/>
      <c r="DX49" s="85"/>
      <c r="DY49" s="85"/>
    </row>
    <row r="50" spans="1:129" ht="19.5" customHeight="1" thickBot="1">
      <c r="A50" s="354"/>
      <c r="B50" s="181"/>
      <c r="C50" s="2243" t="s">
        <v>3658</v>
      </c>
      <c r="D50" s="2244"/>
      <c r="E50" s="2244"/>
      <c r="F50" s="2244"/>
      <c r="G50" s="2244"/>
      <c r="H50" s="2244"/>
      <c r="I50" s="2245"/>
      <c r="J50" s="780"/>
      <c r="K50" s="781"/>
      <c r="L50" s="2249" t="s">
        <v>642</v>
      </c>
      <c r="M50" s="2186"/>
      <c r="N50" s="2187"/>
      <c r="O50" s="2894" t="s">
        <v>1071</v>
      </c>
      <c r="P50" s="2895"/>
      <c r="Q50" s="2764">
        <v>0</v>
      </c>
      <c r="R50" s="2764"/>
      <c r="S50" s="2764"/>
      <c r="T50" s="2764"/>
      <c r="U50" s="2764">
        <v>0</v>
      </c>
      <c r="V50" s="2764"/>
      <c r="W50" s="2764"/>
      <c r="X50" s="2764"/>
      <c r="Y50" s="2148">
        <v>2.5000000000000001E-2</v>
      </c>
      <c r="Z50" s="2148"/>
      <c r="AA50" s="2148"/>
      <c r="AB50" s="2148"/>
      <c r="AC50" s="2148">
        <v>0</v>
      </c>
      <c r="AD50" s="2148"/>
      <c r="AE50" s="2148"/>
      <c r="AF50" s="2148"/>
      <c r="AG50" s="2149">
        <v>0</v>
      </c>
      <c r="AH50" s="2149"/>
      <c r="AI50" s="2149"/>
      <c r="AJ50" s="2149"/>
      <c r="AK50" s="704"/>
      <c r="AL50" s="704"/>
      <c r="AM50" s="704"/>
      <c r="AN50" s="704"/>
      <c r="AO50" s="704"/>
      <c r="AP50" s="704"/>
      <c r="AQ50" s="704"/>
      <c r="AR50" s="704"/>
      <c r="AS50" s="704"/>
      <c r="AT50" s="705"/>
      <c r="AU50" s="171"/>
      <c r="AV50" s="386" t="b">
        <v>0</v>
      </c>
      <c r="AW50" s="387">
        <f>IF(AV50=TRUE,AV50*1,0)</f>
        <v>0</v>
      </c>
      <c r="AX50" s="387" t="s">
        <v>3812</v>
      </c>
      <c r="AY50" s="387" t="str">
        <f>TEXT(BR50,"000")</f>
        <v>943</v>
      </c>
      <c r="AZ50" s="387">
        <f>AW50</f>
        <v>0</v>
      </c>
      <c r="BA50" s="83" t="str">
        <f>IF(O50="2回入金","92",IF(O50="1回入金","91",""))</f>
        <v>92</v>
      </c>
      <c r="BB50" s="84" t="str">
        <f>$AZ$3</f>
        <v>14</v>
      </c>
      <c r="BC50" s="83" t="s">
        <v>2067</v>
      </c>
      <c r="BD50" s="83">
        <f>ROW(C50)</f>
        <v>50</v>
      </c>
      <c r="BE50" s="83">
        <f>IF(AY50&amp;BC50=AY49&amp;BC49,BE49+1,1)</f>
        <v>1</v>
      </c>
      <c r="BF50" s="83" t="str">
        <f>AY50&amp;BC50&amp;BE50</f>
        <v>943000001</v>
      </c>
      <c r="BG50" s="83"/>
      <c r="BH50" s="83"/>
      <c r="BI50" s="83" t="str">
        <f>BR50&amp;"01"</f>
        <v>94301</v>
      </c>
      <c r="BJ50" s="83">
        <f>IF(L50=$BC$2,1,0)</f>
        <v>1</v>
      </c>
      <c r="BK50" s="83">
        <f>AZ50</f>
        <v>0</v>
      </c>
      <c r="BL50" s="628" t="str">
        <f ca="1">IF($AW50=0,"",INDIRECT(ADDRESS($BD50,BL$8)))</f>
        <v/>
      </c>
      <c r="BM50" s="628" t="str">
        <f ca="1">IF($AW50=0,"",INDIRECT(ADDRESS($BD50,BM$8)))</f>
        <v/>
      </c>
      <c r="BN50" s="391" t="str">
        <f t="shared" ca="1" si="15"/>
        <v/>
      </c>
      <c r="BO50" s="391" t="str">
        <f t="shared" ca="1" si="15"/>
        <v/>
      </c>
      <c r="BP50" s="388" t="str">
        <f t="shared" ca="1" si="15"/>
        <v/>
      </c>
      <c r="BQ50" s="495"/>
      <c r="BR50" s="83">
        <v>943</v>
      </c>
      <c r="BY50" s="11"/>
      <c r="BZ50" s="583" t="s">
        <v>1326</v>
      </c>
      <c r="CA50" s="584" t="str">
        <f t="shared" si="16"/>
        <v>1604187</v>
      </c>
      <c r="CB50" s="585" t="s">
        <v>1375</v>
      </c>
      <c r="CD50" s="108">
        <v>6196</v>
      </c>
      <c r="CE50" s="108" t="s">
        <v>5646</v>
      </c>
      <c r="CF50" s="108">
        <v>6196</v>
      </c>
      <c r="CG50" s="23"/>
      <c r="CH50" s="49" t="s">
        <v>23</v>
      </c>
      <c r="CI50" s="49" t="s">
        <v>21</v>
      </c>
      <c r="CJ50" s="49">
        <v>255</v>
      </c>
      <c r="CK50" s="49" t="s">
        <v>216</v>
      </c>
      <c r="CL50" s="49" t="s">
        <v>90</v>
      </c>
      <c r="CM50" s="49"/>
      <c r="CN50" s="49"/>
      <c r="CO50" s="50" t="s">
        <v>558</v>
      </c>
      <c r="CP50" s="51"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2"/>
      <c r="CR50" s="45"/>
      <c r="CS50" s="45"/>
      <c r="CT50" s="45"/>
      <c r="CU50" s="45"/>
      <c r="CV50" s="10"/>
      <c r="CW50" s="8" t="s">
        <v>4381</v>
      </c>
      <c r="CX50" s="8"/>
      <c r="CY50" s="38" t="s">
        <v>4385</v>
      </c>
      <c r="CZ50" s="39" t="s">
        <v>4383</v>
      </c>
      <c r="DA50" s="38"/>
      <c r="DB50" s="71" t="str">
        <f t="shared" si="2"/>
        <v>001</v>
      </c>
      <c r="DC50" s="101" t="s">
        <v>4147</v>
      </c>
      <c r="DD50" s="909" t="str">
        <f>""</f>
        <v/>
      </c>
      <c r="DE50" s="64"/>
      <c r="DF50" s="64"/>
      <c r="DG50" s="64"/>
      <c r="DH50" s="435" t="s">
        <v>1916</v>
      </c>
      <c r="DI50" s="436" t="s">
        <v>1919</v>
      </c>
      <c r="DJ50" s="436" t="s">
        <v>1925</v>
      </c>
      <c r="DK50" s="75" t="str">
        <f t="shared" si="14"/>
        <v>10801305</v>
      </c>
      <c r="DL50" s="78" t="s">
        <v>1963</v>
      </c>
      <c r="DM50" s="78" t="s">
        <v>1946</v>
      </c>
      <c r="DN50" s="438" t="str">
        <f>"13550000"</f>
        <v>13550000</v>
      </c>
      <c r="DO50" s="30"/>
      <c r="DP50" s="30"/>
      <c r="DQ50" s="367"/>
      <c r="DR50" s="367"/>
      <c r="DS50" s="367"/>
      <c r="DT50" s="367"/>
      <c r="DU50" s="367"/>
      <c r="DV50" s="23"/>
      <c r="DX50" s="85"/>
      <c r="DY50" s="85"/>
    </row>
    <row r="51" spans="1:129" ht="19.5" customHeight="1" thickTop="1" thickBot="1">
      <c r="A51" s="354"/>
      <c r="B51" s="181"/>
      <c r="C51" s="2246"/>
      <c r="D51" s="2247"/>
      <c r="E51" s="2247"/>
      <c r="F51" s="2247"/>
      <c r="G51" s="2247"/>
      <c r="H51" s="2247"/>
      <c r="I51" s="2248"/>
      <c r="J51" s="2039" t="s">
        <v>3659</v>
      </c>
      <c r="K51" s="2039"/>
      <c r="L51" s="2039"/>
      <c r="M51" s="2039"/>
      <c r="N51" s="2040"/>
      <c r="O51" s="2455" t="s">
        <v>2072</v>
      </c>
      <c r="P51" s="2456"/>
      <c r="Q51" s="2457" t="s">
        <v>3730</v>
      </c>
      <c r="R51" s="2458"/>
      <c r="S51" s="2458"/>
      <c r="T51" s="2458"/>
      <c r="U51" s="2458"/>
      <c r="V51" s="2458"/>
      <c r="W51" s="2458"/>
      <c r="X51" s="2458"/>
      <c r="Y51" s="2455" t="s">
        <v>2074</v>
      </c>
      <c r="Z51" s="2456"/>
      <c r="AA51" s="2459" t="s">
        <v>3705</v>
      </c>
      <c r="AB51" s="2460"/>
      <c r="AC51" s="2460"/>
      <c r="AD51" s="2460"/>
      <c r="AE51" s="2460"/>
      <c r="AF51" s="2460"/>
      <c r="AG51" s="2460"/>
      <c r="AH51" s="2460"/>
      <c r="AI51" s="2460"/>
      <c r="AJ51" s="2461"/>
      <c r="AK51" s="786"/>
      <c r="AL51" s="725"/>
      <c r="AM51" s="725"/>
      <c r="AN51" s="725"/>
      <c r="AO51" s="725"/>
      <c r="AP51" s="725"/>
      <c r="AQ51" s="725"/>
      <c r="AR51" s="725"/>
      <c r="AS51" s="725"/>
      <c r="AT51" s="881"/>
      <c r="AU51" s="171"/>
      <c r="AV51" s="804" t="str">
        <f>LEFT(Q51,4)</f>
        <v>5000</v>
      </c>
      <c r="AW51" s="805" t="str">
        <f>LEFT(AA51,4)</f>
        <v>5001</v>
      </c>
      <c r="AX51" s="805" t="str">
        <f>VLOOKUP(Q51,AX365:BF371,9,FALSE)</f>
        <v>7011</v>
      </c>
      <c r="AY51" s="808" t="str">
        <f>IF(AV50=TRUE,IF(AND(AV51&lt;&gt;"0000",AW51&lt;&gt;"0000",LEFT(AV51,2)=LEFT(AW51,2)),"OK","NG"),"OK")</f>
        <v>OK</v>
      </c>
      <c r="AZ51" s="808" t="s">
        <v>3761</v>
      </c>
      <c r="BA51" s="806"/>
      <c r="BB51" s="806"/>
      <c r="BC51" s="806"/>
      <c r="BD51" s="806"/>
      <c r="BE51" s="806"/>
      <c r="BF51" s="806"/>
      <c r="BG51" s="806"/>
      <c r="BH51" s="806"/>
      <c r="BI51" s="806"/>
      <c r="BJ51" s="806"/>
      <c r="BK51" s="806"/>
      <c r="BL51" s="807"/>
      <c r="BM51" s="807"/>
      <c r="BN51" s="806"/>
      <c r="BO51" s="806"/>
      <c r="BP51" s="806"/>
      <c r="BR51" s="806"/>
      <c r="BY51" s="11"/>
      <c r="BZ51" s="583" t="s">
        <v>1327</v>
      </c>
      <c r="CA51" s="584" t="str">
        <f>TEXT(BZ51,"0000000")</f>
        <v>1605143</v>
      </c>
      <c r="CB51" s="585" t="s">
        <v>1376</v>
      </c>
      <c r="CD51" s="108">
        <v>6197</v>
      </c>
      <c r="CE51" s="108" t="s">
        <v>5647</v>
      </c>
      <c r="CF51" s="108">
        <v>6197</v>
      </c>
      <c r="CG51" s="23"/>
      <c r="CH51" s="49" t="s">
        <v>885</v>
      </c>
      <c r="CI51" s="49" t="s">
        <v>22</v>
      </c>
      <c r="CJ51" s="49">
        <v>255</v>
      </c>
      <c r="CK51" s="49" t="s">
        <v>216</v>
      </c>
      <c r="CL51" s="49" t="s">
        <v>90</v>
      </c>
      <c r="CM51" s="49"/>
      <c r="CN51" s="49"/>
      <c r="CO51" s="50" t="s">
        <v>559</v>
      </c>
      <c r="CP51" s="51" t="str">
        <f>IF(記入シート1!AV69=TRUE,CP19,ASC(記入シート1!J70)&amp;" "&amp;ASC(SUBSTITUTE(SUBSTITUTE(SUBSTITUTE(SUBSTITUTE(SUBSTITUTE(記入シート1!O70,"　","")," ",""),"ヴ","ウﾞ"),"・",""),"－","‐"))&amp;" "&amp;ASC(SUBSTITUTE(SUBSTITUTE(SUBSTITUTE(SUBSTITUTE(SUBSTITUTE(記入シート1!W70,"　","")," ",""),"ヴ","ウﾞ"),"・",""),"－","‐"))&amp;" "&amp;ASC(SUBSTITUTE(SUBSTITUTE(SUBSTITUTE(SUBSTITUTE(SUBSTITUTE(記入シート1!AE70,"　","")," ",""),"ヴ","ウﾞ"),"・",""),"－","‐"))&amp;IF(記入シート1!AM70="",""," "&amp;ASC(SUBSTITUTE(SUBSTITUTE(SUBSTITUTE(SUBSTITUTE(SUBSTITUTE(記入シート1!AM70,"　","")," ",""),"ヴ","ウﾞ"),"・",""),"－","‐"))))</f>
        <v xml:space="preserve">(自動表示)   </v>
      </c>
      <c r="CQ51" s="2"/>
      <c r="CR51" s="45"/>
      <c r="CS51" s="45"/>
      <c r="CT51" s="45"/>
      <c r="CU51" s="45"/>
      <c r="CV51" s="10"/>
      <c r="CW51" s="8" t="s">
        <v>4382</v>
      </c>
      <c r="CX51" s="8"/>
      <c r="CY51" s="38" t="s">
        <v>3394</v>
      </c>
      <c r="CZ51" s="39" t="s">
        <v>4383</v>
      </c>
      <c r="DA51" s="905"/>
      <c r="DB51" s="71" t="str">
        <f t="shared" si="2"/>
        <v>001</v>
      </c>
      <c r="DC51" s="101" t="s">
        <v>4148</v>
      </c>
      <c r="DD51" s="72" t="str">
        <f>IF(AV42=FALSE,"",IF(AV83=2,1,0))</f>
        <v/>
      </c>
      <c r="DE51" s="64"/>
      <c r="DF51" s="64"/>
      <c r="DG51" s="64"/>
      <c r="DH51" s="435" t="s">
        <v>1916</v>
      </c>
      <c r="DI51" s="436" t="s">
        <v>1920</v>
      </c>
      <c r="DJ51" s="436" t="s">
        <v>1925</v>
      </c>
      <c r="DK51" s="75" t="str">
        <f t="shared" si="14"/>
        <v>10801306</v>
      </c>
      <c r="DL51" s="78" t="s">
        <v>1963</v>
      </c>
      <c r="DM51" s="78" t="s">
        <v>1947</v>
      </c>
      <c r="DN51" s="438" t="str">
        <f>"13550000"</f>
        <v>13550000</v>
      </c>
      <c r="DO51" s="30"/>
      <c r="DP51" s="30"/>
      <c r="DQ51" s="367"/>
      <c r="DR51" s="367"/>
      <c r="DS51" s="367"/>
      <c r="DT51" s="367"/>
      <c r="DU51" s="367"/>
      <c r="DV51" s="23"/>
      <c r="DX51" s="85"/>
      <c r="DY51" s="85"/>
    </row>
    <row r="52" spans="1:129" ht="19.5" hidden="1" customHeight="1">
      <c r="A52" s="354" t="s">
        <v>1402</v>
      </c>
      <c r="B52" s="181"/>
      <c r="C52" s="515"/>
      <c r="D52" s="516"/>
      <c r="E52" s="516"/>
      <c r="F52" s="516"/>
      <c r="G52" s="516"/>
      <c r="H52" s="516"/>
      <c r="I52" s="516"/>
      <c r="J52" s="513"/>
      <c r="K52" s="513"/>
      <c r="L52" s="385"/>
      <c r="M52" s="562"/>
      <c r="N52" s="374"/>
      <c r="O52" s="381"/>
      <c r="P52" s="381"/>
      <c r="Q52" s="2205">
        <v>0</v>
      </c>
      <c r="R52" s="2205"/>
      <c r="S52" s="2205"/>
      <c r="T52" s="2205"/>
      <c r="U52" s="2176">
        <v>0</v>
      </c>
      <c r="V52" s="2176"/>
      <c r="W52" s="2176"/>
      <c r="X52" s="2176"/>
      <c r="Y52" s="2175">
        <v>0</v>
      </c>
      <c r="Z52" s="2175"/>
      <c r="AA52" s="2175"/>
      <c r="AB52" s="2175"/>
      <c r="AC52" s="2175">
        <v>0</v>
      </c>
      <c r="AD52" s="2175"/>
      <c r="AE52" s="2175"/>
      <c r="AF52" s="2175"/>
      <c r="AG52" s="2176">
        <v>0</v>
      </c>
      <c r="AH52" s="2176"/>
      <c r="AI52" s="2176"/>
      <c r="AJ52" s="2176"/>
      <c r="AK52" s="249"/>
      <c r="AL52" s="249"/>
      <c r="AM52" s="249"/>
      <c r="AN52" s="249"/>
      <c r="AO52" s="249"/>
      <c r="AP52" s="249"/>
      <c r="AQ52" s="249"/>
      <c r="AR52" s="249"/>
      <c r="AS52" s="249"/>
      <c r="AT52" s="782"/>
      <c r="AU52" s="171"/>
      <c r="AV52" s="20"/>
      <c r="AW52" s="1092">
        <f>IF(AND(C44="Alipay+",AV44=TRUE),1,0)</f>
        <v>0</v>
      </c>
      <c r="AX52" s="751" t="s">
        <v>5714</v>
      </c>
      <c r="AY52" s="751" t="str">
        <f>TEXT(BR52,"000")</f>
        <v>949</v>
      </c>
      <c r="AZ52" s="751">
        <f>AW52</f>
        <v>0</v>
      </c>
      <c r="BA52" s="1093" t="str">
        <f>IF(O44="2回入金","92",IF(O44="1回入金","91",""))</f>
        <v>92</v>
      </c>
      <c r="BB52" s="1094" t="str">
        <f>$AZ$3</f>
        <v>14</v>
      </c>
      <c r="BC52" s="760" t="s">
        <v>2067</v>
      </c>
      <c r="BD52" s="1093">
        <f>BD44</f>
        <v>44</v>
      </c>
      <c r="BE52" s="760">
        <f>IF(AY52&amp;BC52=AY51&amp;BC51,BE51+1,1)</f>
        <v>1</v>
      </c>
      <c r="BF52" s="760" t="str">
        <f>AY52&amp;BC52&amp;BE52</f>
        <v>949000001</v>
      </c>
      <c r="BG52" s="1095"/>
      <c r="BH52" s="1095"/>
      <c r="BI52" s="760" t="str">
        <f>BR52&amp;"01"</f>
        <v>94901</v>
      </c>
      <c r="BJ52" s="1093">
        <f>IF(L44=$BC$2,1,0)</f>
        <v>1</v>
      </c>
      <c r="BK52" s="760">
        <f>AZ52</f>
        <v>0</v>
      </c>
      <c r="BL52" s="1096" t="str">
        <f t="shared" ref="BL52:BP52" ca="1" si="17">IF($AW52=0,"",INDIRECT(ADDRESS($BD52,BL$8)))</f>
        <v/>
      </c>
      <c r="BM52" s="1096" t="str">
        <f t="shared" ca="1" si="17"/>
        <v/>
      </c>
      <c r="BN52" s="1097" t="str">
        <f t="shared" ca="1" si="17"/>
        <v/>
      </c>
      <c r="BO52" s="1097" t="str">
        <f t="shared" ca="1" si="17"/>
        <v/>
      </c>
      <c r="BP52" s="1098" t="str">
        <f t="shared" ca="1" si="17"/>
        <v/>
      </c>
      <c r="BQ52" s="495"/>
      <c r="BR52" s="1093">
        <v>949</v>
      </c>
      <c r="BZ52" s="583" t="s">
        <v>1367</v>
      </c>
      <c r="CA52" s="584" t="str">
        <f t="shared" si="16"/>
        <v>1605144</v>
      </c>
      <c r="CB52" s="585" t="s">
        <v>1377</v>
      </c>
      <c r="CD52" s="108">
        <v>6216</v>
      </c>
      <c r="CE52" s="108" t="s">
        <v>5648</v>
      </c>
      <c r="CF52" s="108">
        <v>6216</v>
      </c>
      <c r="CG52" s="25"/>
      <c r="CH52" s="355" t="s">
        <v>1169</v>
      </c>
      <c r="CI52" s="355" t="s">
        <v>1244</v>
      </c>
      <c r="CJ52" s="355">
        <v>13</v>
      </c>
      <c r="CK52" s="355"/>
      <c r="CL52" s="355"/>
      <c r="CM52" s="355"/>
      <c r="CN52" s="355"/>
      <c r="CO52" s="356" t="s">
        <v>1245</v>
      </c>
      <c r="CP52" s="357" t="str">
        <f>ASC(記入シート1!I76)&amp;"-"&amp;ASC(記入シート1!O76)&amp;"-"&amp;ASC(記入シート1!T76)</f>
        <v>--</v>
      </c>
      <c r="CQ52" s="2"/>
      <c r="CR52" s="45"/>
      <c r="CS52" s="45"/>
      <c r="CT52" s="45"/>
      <c r="CU52" s="45"/>
      <c r="CV52" s="10"/>
      <c r="CW52" s="34" t="s">
        <v>184</v>
      </c>
      <c r="CX52" s="34" t="s">
        <v>90</v>
      </c>
      <c r="CY52" s="40" t="s">
        <v>741</v>
      </c>
      <c r="CZ52" s="41" t="s">
        <v>343</v>
      </c>
      <c r="DA52" s="40" t="s">
        <v>754</v>
      </c>
      <c r="DB52" s="71" t="str">
        <f t="shared" si="2"/>
        <v>101</v>
      </c>
      <c r="DC52" s="101" t="s">
        <v>185</v>
      </c>
      <c r="DD52" s="72"/>
      <c r="DE52" s="87"/>
      <c r="DF52" s="64"/>
      <c r="DG52" s="64"/>
      <c r="DH52" s="435" t="s">
        <v>1916</v>
      </c>
      <c r="DI52" s="436" t="s">
        <v>1921</v>
      </c>
      <c r="DJ52" s="436" t="s">
        <v>1925</v>
      </c>
      <c r="DK52" s="75" t="str">
        <f t="shared" si="14"/>
        <v>10801307</v>
      </c>
      <c r="DL52" s="78" t="s">
        <v>1963</v>
      </c>
      <c r="DM52" s="78" t="s">
        <v>1948</v>
      </c>
      <c r="DN52" s="438" t="str">
        <f>"13550000"</f>
        <v>13550000</v>
      </c>
      <c r="DO52" s="30"/>
      <c r="DP52" s="30"/>
      <c r="DQ52" s="367"/>
      <c r="DR52" s="367"/>
      <c r="DS52" s="367"/>
      <c r="DT52" s="367"/>
      <c r="DU52" s="367"/>
      <c r="DV52" s="23"/>
      <c r="DX52" s="85"/>
      <c r="DY52" s="85"/>
    </row>
    <row r="53" spans="1:129" ht="19.5" hidden="1" customHeight="1">
      <c r="A53" s="354" t="s">
        <v>1234</v>
      </c>
      <c r="B53" s="181"/>
      <c r="C53" s="515"/>
      <c r="D53" s="516"/>
      <c r="E53" s="516"/>
      <c r="F53" s="516"/>
      <c r="G53" s="516"/>
      <c r="H53" s="516"/>
      <c r="I53" s="516"/>
      <c r="J53" s="378"/>
      <c r="K53" s="378"/>
      <c r="L53" s="385"/>
      <c r="M53" s="562"/>
      <c r="N53" s="374"/>
      <c r="O53" s="374"/>
      <c r="P53" s="374"/>
      <c r="Q53" s="374"/>
      <c r="R53" s="374"/>
      <c r="S53" s="374"/>
      <c r="T53" s="374"/>
      <c r="U53" s="375"/>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527"/>
      <c r="AU53" s="171"/>
      <c r="AV53" s="20"/>
      <c r="BZ53" s="583" t="s">
        <v>1328</v>
      </c>
      <c r="CA53" s="584" t="str">
        <f t="shared" si="16"/>
        <v>1607288</v>
      </c>
      <c r="CB53" s="585" t="s">
        <v>1378</v>
      </c>
      <c r="CD53" s="108">
        <v>6231</v>
      </c>
      <c r="CE53" s="108" t="s">
        <v>5662</v>
      </c>
      <c r="CF53" s="108">
        <v>6231</v>
      </c>
      <c r="CG53" s="26"/>
      <c r="CH53" s="49" t="s">
        <v>223</v>
      </c>
      <c r="CI53" s="49" t="s">
        <v>22</v>
      </c>
      <c r="CJ53" s="49">
        <v>128</v>
      </c>
      <c r="CK53" s="49" t="s">
        <v>216</v>
      </c>
      <c r="CL53" s="49" t="s">
        <v>220</v>
      </c>
      <c r="CM53" s="49"/>
      <c r="CN53" s="49"/>
      <c r="CO53" s="50" t="s">
        <v>222</v>
      </c>
      <c r="CP53" s="51" t="str">
        <f>ASC(記入シート1!I77)</f>
        <v/>
      </c>
      <c r="CQ53" s="2"/>
      <c r="CR53" s="45"/>
      <c r="CS53" s="45"/>
      <c r="CT53" s="45"/>
      <c r="CU53" s="45"/>
      <c r="CV53" s="10"/>
      <c r="CW53" s="34" t="s">
        <v>181</v>
      </c>
      <c r="CX53" s="34" t="s">
        <v>90</v>
      </c>
      <c r="CY53" s="40" t="s">
        <v>736</v>
      </c>
      <c r="CZ53" s="41" t="s">
        <v>343</v>
      </c>
      <c r="DA53" s="40"/>
      <c r="DB53" s="71" t="str">
        <f t="shared" si="2"/>
        <v>101</v>
      </c>
      <c r="DC53" s="101" t="s">
        <v>182</v>
      </c>
      <c r="DD53" s="72"/>
      <c r="DE53" s="87"/>
      <c r="DF53" s="64"/>
      <c r="DG53" s="64"/>
      <c r="DH53" s="969" t="s">
        <v>5061</v>
      </c>
      <c r="DI53" s="970" t="s">
        <v>5062</v>
      </c>
      <c r="DJ53" s="436"/>
      <c r="DK53" s="75" t="str">
        <f t="shared" si="14"/>
        <v>10902315</v>
      </c>
      <c r="DL53" s="78" t="s">
        <v>5064</v>
      </c>
      <c r="DM53" s="78" t="s">
        <v>5063</v>
      </c>
      <c r="DN53" s="971" t="str">
        <f ca="1">IF(LEN(【iD・WAON用記入シート】業種シート!G4)&lt;4,"",【iD・WAON用記入シート】業種シート!G4)</f>
        <v/>
      </c>
      <c r="DO53" s="30"/>
      <c r="DP53" s="30"/>
      <c r="DQ53" s="367"/>
      <c r="DR53" s="367"/>
      <c r="DS53" s="367"/>
      <c r="DT53" s="367"/>
      <c r="DU53" s="367"/>
      <c r="DV53" s="23"/>
      <c r="DX53" s="85"/>
      <c r="DY53" s="85"/>
    </row>
    <row r="54" spans="1:129" ht="19.5" hidden="1" customHeight="1" thickBot="1">
      <c r="A54" s="354" t="s">
        <v>1234</v>
      </c>
      <c r="B54" s="181"/>
      <c r="C54" s="515"/>
      <c r="D54" s="516"/>
      <c r="E54" s="516"/>
      <c r="F54" s="516"/>
      <c r="G54" s="516"/>
      <c r="H54" s="516"/>
      <c r="I54" s="516"/>
      <c r="J54" s="378"/>
      <c r="K54" s="378"/>
      <c r="L54" s="719"/>
      <c r="M54" s="720"/>
      <c r="N54" s="721"/>
      <c r="O54" s="721"/>
      <c r="P54" s="721"/>
      <c r="Q54" s="721"/>
      <c r="R54" s="721"/>
      <c r="S54" s="721"/>
      <c r="T54" s="721"/>
      <c r="U54" s="704"/>
      <c r="V54" s="704"/>
      <c r="W54" s="704"/>
      <c r="X54" s="704"/>
      <c r="Y54" s="704"/>
      <c r="Z54" s="704"/>
      <c r="AA54" s="704"/>
      <c r="AB54" s="704"/>
      <c r="AC54" s="704"/>
      <c r="AD54" s="704"/>
      <c r="AE54" s="704"/>
      <c r="AF54" s="704"/>
      <c r="AG54" s="704"/>
      <c r="AH54" s="704"/>
      <c r="AI54" s="704"/>
      <c r="AJ54" s="704"/>
      <c r="AK54" s="704"/>
      <c r="AL54" s="704"/>
      <c r="AM54" s="704"/>
      <c r="AN54" s="704"/>
      <c r="AO54" s="704"/>
      <c r="AP54" s="704"/>
      <c r="AQ54" s="704"/>
      <c r="AR54" s="704"/>
      <c r="AS54" s="704"/>
      <c r="AT54" s="705"/>
      <c r="AU54" s="171"/>
      <c r="AV54" s="20"/>
      <c r="BZ54" s="369" t="s">
        <v>1329</v>
      </c>
      <c r="CA54" s="584" t="str">
        <f t="shared" si="16"/>
        <v>1607805</v>
      </c>
      <c r="CB54" s="82" t="s">
        <v>1379</v>
      </c>
      <c r="CD54" s="108">
        <v>6073</v>
      </c>
      <c r="CE54" s="108" t="s">
        <v>5661</v>
      </c>
      <c r="CF54" s="108">
        <v>6073</v>
      </c>
      <c r="CG54" s="26"/>
      <c r="CH54" s="148" t="s">
        <v>417</v>
      </c>
      <c r="CI54" s="148" t="s">
        <v>63</v>
      </c>
      <c r="CJ54" s="148">
        <v>1</v>
      </c>
      <c r="CK54" s="148" t="s">
        <v>216</v>
      </c>
      <c r="CL54" s="148" t="s">
        <v>220</v>
      </c>
      <c r="CM54" s="148" t="s">
        <v>594</v>
      </c>
      <c r="CN54" s="148"/>
      <c r="CO54" s="149" t="s">
        <v>219</v>
      </c>
      <c r="CP54" s="150">
        <v>1</v>
      </c>
      <c r="CQ54" s="2"/>
      <c r="CR54" s="45"/>
      <c r="CS54" s="45"/>
      <c r="CT54" s="45"/>
      <c r="CU54" s="45"/>
      <c r="CV54" s="10"/>
      <c r="CW54" s="34" t="s">
        <v>178</v>
      </c>
      <c r="CX54" s="34"/>
      <c r="CY54" s="40" t="s">
        <v>736</v>
      </c>
      <c r="CZ54" s="41" t="s">
        <v>343</v>
      </c>
      <c r="DA54" s="40"/>
      <c r="DB54" s="71" t="str">
        <f t="shared" si="2"/>
        <v>101</v>
      </c>
      <c r="DC54" s="101" t="s">
        <v>179</v>
      </c>
      <c r="DD54" s="72"/>
      <c r="DE54" s="87"/>
      <c r="DF54" s="64"/>
      <c r="DG54" s="64"/>
      <c r="DH54" s="969" t="s">
        <v>5065</v>
      </c>
      <c r="DI54" s="970" t="s">
        <v>5062</v>
      </c>
      <c r="DJ54" s="436"/>
      <c r="DK54" s="75" t="str">
        <f t="shared" si="14"/>
        <v>11002324</v>
      </c>
      <c r="DL54" s="78" t="s">
        <v>5067</v>
      </c>
      <c r="DM54" s="78" t="s">
        <v>5066</v>
      </c>
      <c r="DN54" s="971" t="str">
        <f ca="1">IF(LEN(【iD・WAON用記入シート】業種シート!G4)&lt;4,"",【iD・WAON用記入シート】業種シート!G4)</f>
        <v/>
      </c>
      <c r="DO54" s="30"/>
      <c r="DP54" s="30"/>
      <c r="DQ54" s="367"/>
      <c r="DR54" s="367"/>
      <c r="DS54" s="367"/>
      <c r="DT54" s="367"/>
      <c r="DU54" s="367"/>
      <c r="DV54" s="23"/>
      <c r="DX54" s="85"/>
      <c r="DY54" s="85"/>
    </row>
    <row r="55" spans="1:129" ht="19.5" hidden="1" customHeight="1" thickTop="1">
      <c r="A55" s="354" t="s">
        <v>1234</v>
      </c>
      <c r="B55" s="181"/>
      <c r="C55" s="773"/>
      <c r="D55" s="773"/>
      <c r="E55" s="773"/>
      <c r="F55" s="773"/>
      <c r="G55" s="773"/>
      <c r="H55" s="773"/>
      <c r="I55" s="773"/>
      <c r="J55" s="731"/>
      <c r="K55" s="731"/>
      <c r="L55" s="716"/>
      <c r="M55" s="716"/>
      <c r="N55" s="717"/>
      <c r="O55" s="717"/>
      <c r="P55" s="717"/>
      <c r="Q55" s="717"/>
      <c r="R55" s="717"/>
      <c r="S55" s="717"/>
      <c r="T55" s="717"/>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171"/>
      <c r="AV55" s="20"/>
      <c r="BZ55" s="369" t="s">
        <v>952</v>
      </c>
      <c r="CA55" s="586" t="str">
        <f t="shared" si="16"/>
        <v>1608562</v>
      </c>
      <c r="CB55" s="82" t="s">
        <v>958</v>
      </c>
      <c r="CD55" s="108">
        <v>6236</v>
      </c>
      <c r="CE55" s="108" t="s">
        <v>5670</v>
      </c>
      <c r="CF55" s="108">
        <v>6236</v>
      </c>
      <c r="CG55" s="27"/>
      <c r="CH55" s="148" t="s">
        <v>418</v>
      </c>
      <c r="CI55" s="148" t="s">
        <v>63</v>
      </c>
      <c r="CJ55" s="148">
        <v>8</v>
      </c>
      <c r="CK55" s="148" t="s">
        <v>216</v>
      </c>
      <c r="CL55" s="148" t="s">
        <v>216</v>
      </c>
      <c r="CM55" s="148"/>
      <c r="CN55" s="148"/>
      <c r="CO55" s="149" t="s">
        <v>215</v>
      </c>
      <c r="CP55" s="150"/>
      <c r="CQ55" s="2"/>
      <c r="CR55" s="45"/>
      <c r="CS55" s="45"/>
      <c r="CT55" s="45"/>
      <c r="CU55" s="45"/>
      <c r="CV55" s="10"/>
      <c r="CW55" s="34" t="s">
        <v>174</v>
      </c>
      <c r="CX55" s="34"/>
      <c r="CY55" s="40" t="s">
        <v>736</v>
      </c>
      <c r="CZ55" s="41" t="s">
        <v>343</v>
      </c>
      <c r="DA55" s="40"/>
      <c r="DB55" s="71" t="str">
        <f t="shared" si="2"/>
        <v>101</v>
      </c>
      <c r="DC55" s="101" t="s">
        <v>175</v>
      </c>
      <c r="DD55" s="72"/>
      <c r="DE55" s="87"/>
      <c r="DF55" s="64"/>
      <c r="DG55" s="64"/>
      <c r="DH55" s="435" t="s">
        <v>2151</v>
      </c>
      <c r="DI55" s="436" t="s">
        <v>2170</v>
      </c>
      <c r="DJ55" s="625"/>
      <c r="DK55" s="75" t="str">
        <f t="shared" si="14"/>
        <v>93101PV2</v>
      </c>
      <c r="DL55" s="78" t="s">
        <v>2065</v>
      </c>
      <c r="DM55" s="78" t="s">
        <v>2179</v>
      </c>
      <c r="DN55" s="438" t="str">
        <f>T(記入シート1!I67)</f>
        <v/>
      </c>
      <c r="DO55" s="30"/>
      <c r="DP55" s="30"/>
      <c r="DQ55" s="367"/>
      <c r="DR55" s="367"/>
      <c r="DS55" s="367"/>
      <c r="DT55" s="367"/>
      <c r="DU55" s="367"/>
      <c r="DV55" s="25"/>
      <c r="DX55" s="85"/>
      <c r="DY55" s="85"/>
    </row>
    <row r="56" spans="1:129" ht="19.5" customHeight="1" thickBot="1">
      <c r="A56" s="354"/>
      <c r="B56" s="181"/>
      <c r="C56" s="771"/>
      <c r="D56" s="771"/>
      <c r="E56" s="771"/>
      <c r="F56" s="771"/>
      <c r="G56" s="771"/>
      <c r="H56" s="771"/>
      <c r="I56" s="771"/>
      <c r="J56" s="771"/>
      <c r="K56" s="771"/>
      <c r="L56" s="772"/>
      <c r="M56" s="732"/>
      <c r="N56" s="111"/>
      <c r="O56" s="111"/>
      <c r="P56" s="111"/>
      <c r="Q56" s="111"/>
      <c r="R56" s="111"/>
      <c r="S56" s="111"/>
      <c r="T56" s="111"/>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171"/>
      <c r="AV56" s="386"/>
      <c r="BZ56" s="369" t="s">
        <v>953</v>
      </c>
      <c r="CA56" s="586" t="str">
        <f t="shared" si="16"/>
        <v>1608563</v>
      </c>
      <c r="CB56" s="82" t="s">
        <v>959</v>
      </c>
      <c r="CD56" s="108">
        <v>6237</v>
      </c>
      <c r="CE56" s="108" t="s">
        <v>5671</v>
      </c>
      <c r="CF56" s="108">
        <v>6237</v>
      </c>
      <c r="CG56" s="27"/>
      <c r="CH56" s="49" t="s">
        <v>419</v>
      </c>
      <c r="CI56" s="49" t="s">
        <v>21</v>
      </c>
      <c r="CJ56" s="49">
        <v>255</v>
      </c>
      <c r="CK56" s="49" t="s">
        <v>216</v>
      </c>
      <c r="CL56" s="49" t="s">
        <v>362</v>
      </c>
      <c r="CM56" s="49"/>
      <c r="CN56" s="49" t="s">
        <v>888</v>
      </c>
      <c r="CO56" s="50" t="s">
        <v>210</v>
      </c>
      <c r="CP56" s="51" t="str">
        <f>LEFT(SUBSTITUTE(記入シート1!I81,CHAR(10),"　"),255)</f>
        <v/>
      </c>
      <c r="CQ56" s="2"/>
      <c r="CR56" s="45"/>
      <c r="CS56" s="45"/>
      <c r="CT56" s="45"/>
      <c r="CU56" s="45"/>
      <c r="CV56" s="10"/>
      <c r="CW56" s="8" t="s">
        <v>4398</v>
      </c>
      <c r="CX56" s="8"/>
      <c r="CY56" s="38"/>
      <c r="CZ56" s="39" t="s">
        <v>4383</v>
      </c>
      <c r="DA56" s="38"/>
      <c r="DB56" s="71" t="str">
        <f t="shared" si="2"/>
        <v>001</v>
      </c>
      <c r="DC56" s="101" t="s">
        <v>4386</v>
      </c>
      <c r="DD56" s="909"/>
      <c r="DE56" s="87"/>
      <c r="DF56" s="64"/>
      <c r="DG56" s="64"/>
      <c r="DH56" s="435" t="s">
        <v>2151</v>
      </c>
      <c r="DI56" s="436" t="s">
        <v>2171</v>
      </c>
      <c r="DJ56" s="436"/>
      <c r="DK56" s="75" t="str">
        <f t="shared" si="14"/>
        <v>93101PV3</v>
      </c>
      <c r="DL56" s="78" t="s">
        <v>2065</v>
      </c>
      <c r="DM56" s="78" t="s">
        <v>2180</v>
      </c>
      <c r="DN56" s="438" t="str">
        <f>"4"</f>
        <v>4</v>
      </c>
      <c r="DO56" s="30"/>
      <c r="DP56" s="30"/>
      <c r="DQ56" s="367"/>
      <c r="DR56" s="367"/>
      <c r="DS56" s="367"/>
      <c r="DT56" s="367"/>
      <c r="DU56" s="367"/>
      <c r="DV56" s="26"/>
      <c r="DX56" s="85"/>
      <c r="DY56" s="85"/>
    </row>
    <row r="57" spans="1:129" ht="19.5" customHeight="1" thickTop="1">
      <c r="A57" s="354"/>
      <c r="B57" s="181"/>
      <c r="C57" s="1228" t="s">
        <v>449</v>
      </c>
      <c r="D57" s="1229"/>
      <c r="E57" s="1229"/>
      <c r="F57" s="1229"/>
      <c r="G57" s="1229"/>
      <c r="H57" s="1229"/>
      <c r="I57" s="1230"/>
      <c r="J57" s="2190" t="s">
        <v>845</v>
      </c>
      <c r="K57" s="2191"/>
      <c r="L57" s="2193" t="s">
        <v>846</v>
      </c>
      <c r="M57" s="2194"/>
      <c r="N57" s="2195"/>
      <c r="O57" s="2199" t="s">
        <v>1059</v>
      </c>
      <c r="P57" s="2200"/>
      <c r="Q57" s="2199" t="s">
        <v>2053</v>
      </c>
      <c r="R57" s="2203"/>
      <c r="S57" s="2203"/>
      <c r="T57" s="2200"/>
      <c r="U57" s="2199" t="s">
        <v>2054</v>
      </c>
      <c r="V57" s="2203"/>
      <c r="W57" s="2203"/>
      <c r="X57" s="2200"/>
      <c r="Y57" s="2199" t="s">
        <v>2055</v>
      </c>
      <c r="Z57" s="2203"/>
      <c r="AA57" s="2203"/>
      <c r="AB57" s="2200"/>
      <c r="AC57" s="2199" t="s">
        <v>2056</v>
      </c>
      <c r="AD57" s="2203"/>
      <c r="AE57" s="2203"/>
      <c r="AF57" s="2200"/>
      <c r="AG57" s="2199" t="s">
        <v>2057</v>
      </c>
      <c r="AH57" s="2203"/>
      <c r="AI57" s="2203"/>
      <c r="AJ57" s="2200"/>
      <c r="AK57" s="2177" t="s">
        <v>2052</v>
      </c>
      <c r="AL57" s="2178"/>
      <c r="AM57" s="2178"/>
      <c r="AN57" s="2178"/>
      <c r="AO57" s="2178"/>
      <c r="AP57" s="2178"/>
      <c r="AQ57" s="2178"/>
      <c r="AR57" s="2178"/>
      <c r="AS57" s="2178"/>
      <c r="AT57" s="2179"/>
      <c r="AU57" s="171"/>
      <c r="AV57" s="386"/>
      <c r="BZ57" s="369" t="s">
        <v>954</v>
      </c>
      <c r="CA57" s="586" t="str">
        <f t="shared" si="16"/>
        <v>1608564</v>
      </c>
      <c r="CB57" s="82" t="s">
        <v>960</v>
      </c>
      <c r="CD57" s="108">
        <v>6238</v>
      </c>
      <c r="CE57" s="108" t="s">
        <v>5672</v>
      </c>
      <c r="CF57" s="108">
        <v>6238</v>
      </c>
      <c r="CG57" s="27"/>
      <c r="CH57" s="49" t="s">
        <v>420</v>
      </c>
      <c r="CI57" s="49" t="s">
        <v>63</v>
      </c>
      <c r="CJ57" s="49">
        <v>2</v>
      </c>
      <c r="CK57" s="49" t="s">
        <v>216</v>
      </c>
      <c r="CL57" s="49" t="s">
        <v>220</v>
      </c>
      <c r="CM57" s="49" t="s">
        <v>595</v>
      </c>
      <c r="CN57" s="49"/>
      <c r="CO57" s="50" t="s">
        <v>213</v>
      </c>
      <c r="CP57" s="51" t="str">
        <f>LEFT(記入シート1!AL88,2)</f>
        <v>04</v>
      </c>
      <c r="CQ57" s="2"/>
      <c r="CR57" s="45"/>
      <c r="CS57" s="45"/>
      <c r="CT57" s="45"/>
      <c r="CU57" s="45"/>
      <c r="CV57" s="10"/>
      <c r="CW57" s="8" t="s">
        <v>4399</v>
      </c>
      <c r="CX57" s="8"/>
      <c r="CY57" s="38"/>
      <c r="CZ57" s="39" t="s">
        <v>4383</v>
      </c>
      <c r="DA57" s="38"/>
      <c r="DB57" s="71" t="str">
        <f t="shared" si="2"/>
        <v>001</v>
      </c>
      <c r="DC57" s="101" t="s">
        <v>4387</v>
      </c>
      <c r="DD57" s="909"/>
      <c r="DE57" s="87"/>
      <c r="DF57" s="64"/>
      <c r="DG57" s="64"/>
      <c r="DH57" s="435" t="s">
        <v>2151</v>
      </c>
      <c r="DI57" s="436" t="s">
        <v>3242</v>
      </c>
      <c r="DJ57" s="436" t="s">
        <v>3262</v>
      </c>
      <c r="DK57" s="75" t="str">
        <f t="shared" si="14"/>
        <v>93101PV4</v>
      </c>
      <c r="DL57" s="78" t="s">
        <v>2065</v>
      </c>
      <c r="DM57" s="78" t="s">
        <v>3252</v>
      </c>
      <c r="DN57" s="438">
        <f>AV115*1</f>
        <v>980</v>
      </c>
      <c r="DO57" s="30"/>
      <c r="DP57" s="30"/>
      <c r="DQ57" s="367"/>
      <c r="DR57" s="367"/>
      <c r="DS57" s="367"/>
      <c r="DT57" s="367"/>
      <c r="DU57" s="367"/>
      <c r="DV57" s="26"/>
      <c r="DX57" s="85"/>
      <c r="DY57" s="85"/>
    </row>
    <row r="58" spans="1:129" ht="19.5" customHeight="1">
      <c r="A58" s="354"/>
      <c r="B58" s="181"/>
      <c r="C58" s="1242"/>
      <c r="D58" s="1243"/>
      <c r="E58" s="1243"/>
      <c r="F58" s="1243"/>
      <c r="G58" s="1243"/>
      <c r="H58" s="1243"/>
      <c r="I58" s="1244"/>
      <c r="J58" s="1281"/>
      <c r="K58" s="2192"/>
      <c r="L58" s="2196"/>
      <c r="M58" s="2197"/>
      <c r="N58" s="2198"/>
      <c r="O58" s="2201"/>
      <c r="P58" s="2202"/>
      <c r="Q58" s="2201"/>
      <c r="R58" s="2204"/>
      <c r="S58" s="2204"/>
      <c r="T58" s="2202"/>
      <c r="U58" s="2201"/>
      <c r="V58" s="2204"/>
      <c r="W58" s="2204"/>
      <c r="X58" s="2202"/>
      <c r="Y58" s="2201"/>
      <c r="Z58" s="2204"/>
      <c r="AA58" s="2204"/>
      <c r="AB58" s="2202"/>
      <c r="AC58" s="2201"/>
      <c r="AD58" s="2204"/>
      <c r="AE58" s="2204"/>
      <c r="AF58" s="2202"/>
      <c r="AG58" s="2201"/>
      <c r="AH58" s="2204"/>
      <c r="AI58" s="2204"/>
      <c r="AJ58" s="2202"/>
      <c r="AK58" s="2180"/>
      <c r="AL58" s="2181"/>
      <c r="AM58" s="2181"/>
      <c r="AN58" s="2181"/>
      <c r="AO58" s="2181"/>
      <c r="AP58" s="2181"/>
      <c r="AQ58" s="2181"/>
      <c r="AR58" s="2181"/>
      <c r="AS58" s="2181"/>
      <c r="AT58" s="2182"/>
      <c r="AU58" s="171"/>
      <c r="AV58" s="386"/>
      <c r="BZ58" s="369" t="s">
        <v>955</v>
      </c>
      <c r="CA58" s="586" t="str">
        <f t="shared" si="16"/>
        <v>1608565</v>
      </c>
      <c r="CB58" s="82" t="s">
        <v>961</v>
      </c>
      <c r="CD58" s="108">
        <v>6240</v>
      </c>
      <c r="CE58" s="108" t="s">
        <v>5673</v>
      </c>
      <c r="CF58" s="108">
        <v>6240</v>
      </c>
      <c r="CG58" s="27"/>
      <c r="CH58" s="49" t="s">
        <v>421</v>
      </c>
      <c r="CI58" s="49" t="s">
        <v>21</v>
      </c>
      <c r="CJ58" s="49">
        <v>255</v>
      </c>
      <c r="CK58" s="49" t="s">
        <v>216</v>
      </c>
      <c r="CL58" s="49" t="s">
        <v>422</v>
      </c>
      <c r="CM58" s="49"/>
      <c r="CN58" s="489"/>
      <c r="CO58" s="50" t="s">
        <v>207</v>
      </c>
      <c r="CP58" s="51" t="str">
        <f>LEFT(SUBSTITUTE(記入シート1!I85,CHAR(10),"　"),255)</f>
        <v/>
      </c>
      <c r="CQ58" s="2"/>
      <c r="CR58" s="45"/>
      <c r="CS58" s="45"/>
      <c r="CT58" s="45"/>
      <c r="CU58" s="45"/>
      <c r="CV58" s="10"/>
      <c r="CW58" s="8" t="s">
        <v>4400</v>
      </c>
      <c r="CX58" s="8"/>
      <c r="CY58" s="38" t="s">
        <v>3394</v>
      </c>
      <c r="CZ58" s="39" t="s">
        <v>4383</v>
      </c>
      <c r="DA58" s="38"/>
      <c r="DB58" s="71" t="str">
        <f>LEFT(DC56,3)</f>
        <v>001</v>
      </c>
      <c r="DC58" s="101" t="s">
        <v>4388</v>
      </c>
      <c r="DD58" s="72">
        <f>IF(AV154=0,"",IF(AV154=1,0,1))</f>
        <v>0</v>
      </c>
      <c r="DE58" s="87"/>
      <c r="DF58" s="64"/>
      <c r="DG58" s="64"/>
      <c r="DH58" s="435" t="s">
        <v>2151</v>
      </c>
      <c r="DI58" s="436" t="s">
        <v>3243</v>
      </c>
      <c r="DJ58" s="436" t="s">
        <v>3262</v>
      </c>
      <c r="DK58" s="75" t="str">
        <f t="shared" si="14"/>
        <v>93101PV5</v>
      </c>
      <c r="DL58" s="78" t="s">
        <v>2065</v>
      </c>
      <c r="DM58" s="78" t="s">
        <v>3253</v>
      </c>
      <c r="DN58" s="438">
        <f>AV116*1</f>
        <v>0</v>
      </c>
      <c r="DO58" s="30"/>
      <c r="DP58" s="30"/>
      <c r="DQ58" s="367"/>
      <c r="DR58" s="367"/>
      <c r="DS58" s="367"/>
      <c r="DT58" s="367"/>
      <c r="DU58" s="367"/>
      <c r="DV58" s="27"/>
      <c r="DX58" s="85"/>
      <c r="DY58" s="85"/>
    </row>
    <row r="59" spans="1:129" ht="19.5" customHeight="1">
      <c r="A59" s="354"/>
      <c r="B59" s="181"/>
      <c r="C59" s="2183" t="s">
        <v>2245</v>
      </c>
      <c r="D59" s="2184"/>
      <c r="E59" s="2184"/>
      <c r="F59" s="2184"/>
      <c r="G59" s="2184"/>
      <c r="H59" s="2184"/>
      <c r="I59" s="2184"/>
      <c r="J59" s="378"/>
      <c r="K59" s="378"/>
      <c r="L59" s="385"/>
      <c r="M59" s="562"/>
      <c r="N59" s="374"/>
      <c r="O59" s="374"/>
      <c r="P59" s="374"/>
      <c r="Q59" s="374"/>
      <c r="R59" s="374"/>
      <c r="S59" s="374"/>
      <c r="T59" s="374"/>
      <c r="U59" s="375"/>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527"/>
      <c r="AU59" s="171"/>
      <c r="AV59" s="531" t="b">
        <f>IF(OR(AV60=TRUE,AV64=TRUE,AV65=TRUE,AV67=TRUE,AV71=TRUE,AV75=TRUE,AV78=TRUE,AV80=TRUE),TRUE,FALSE)</f>
        <v>0</v>
      </c>
      <c r="AW59" s="499" t="s">
        <v>2069</v>
      </c>
      <c r="AY59" s="253" t="s">
        <v>7</v>
      </c>
      <c r="AZ59" s="253" t="s">
        <v>454</v>
      </c>
      <c r="BA59" s="10" t="s">
        <v>908</v>
      </c>
      <c r="BB59" s="10" t="s">
        <v>0</v>
      </c>
      <c r="BC59" s="10" t="s">
        <v>455</v>
      </c>
      <c r="BD59" s="10" t="s">
        <v>975</v>
      </c>
      <c r="BE59" s="10"/>
      <c r="BF59" s="10"/>
      <c r="BG59" s="10"/>
      <c r="BH59" s="10"/>
      <c r="BI59" s="10" t="s">
        <v>456</v>
      </c>
      <c r="BJ59" s="10" t="s">
        <v>457</v>
      </c>
      <c r="BK59" s="10" t="s">
        <v>458</v>
      </c>
      <c r="BL59" s="10" t="s">
        <v>973</v>
      </c>
      <c r="BM59" s="10" t="s">
        <v>974</v>
      </c>
      <c r="BN59" s="10" t="s">
        <v>459</v>
      </c>
      <c r="BO59" s="10" t="s">
        <v>460</v>
      </c>
      <c r="BP59" s="10" t="s">
        <v>461</v>
      </c>
      <c r="BQ59" s="10"/>
      <c r="BR59" s="10" t="s">
        <v>7</v>
      </c>
      <c r="BZ59" s="369" t="s">
        <v>956</v>
      </c>
      <c r="CA59" s="586" t="str">
        <f t="shared" si="16"/>
        <v>1608566</v>
      </c>
      <c r="CB59" s="82" t="s">
        <v>962</v>
      </c>
      <c r="CD59" s="108">
        <v>6254</v>
      </c>
      <c r="CE59" s="108" t="s">
        <v>5681</v>
      </c>
      <c r="CF59" s="108">
        <v>6254</v>
      </c>
      <c r="CG59" s="27"/>
      <c r="CH59" s="213" t="s">
        <v>890</v>
      </c>
      <c r="CI59" s="49" t="s">
        <v>19</v>
      </c>
      <c r="CJ59" s="213">
        <v>13</v>
      </c>
      <c r="CK59" s="49" t="s">
        <v>216</v>
      </c>
      <c r="CL59" s="49" t="s">
        <v>20</v>
      </c>
      <c r="CM59" s="213"/>
      <c r="CN59" s="214"/>
      <c r="CO59" s="60" t="s">
        <v>889</v>
      </c>
      <c r="CP59" s="61" t="str">
        <f>ASC(記入シート1!I89)</f>
        <v/>
      </c>
      <c r="CQ59" s="2"/>
      <c r="CR59" s="45"/>
      <c r="CS59" s="45"/>
      <c r="CT59" s="45"/>
      <c r="CU59" s="45"/>
      <c r="CV59" s="10"/>
      <c r="CW59" s="8" t="s">
        <v>4352</v>
      </c>
      <c r="CX59" s="8"/>
      <c r="CY59" s="906"/>
      <c r="CZ59" s="906" t="s">
        <v>4383</v>
      </c>
      <c r="DA59" s="906"/>
      <c r="DB59" s="71" t="str">
        <f t="shared" si="2"/>
        <v>001</v>
      </c>
      <c r="DC59" s="101" t="s">
        <v>4389</v>
      </c>
      <c r="DD59" s="72" t="str">
        <f>T(Q155)</f>
        <v/>
      </c>
      <c r="DE59" s="87"/>
      <c r="DF59" s="64"/>
      <c r="DG59" s="64"/>
      <c r="DH59" s="435" t="s">
        <v>2151</v>
      </c>
      <c r="DI59" s="436" t="s">
        <v>3244</v>
      </c>
      <c r="DJ59" s="436"/>
      <c r="DK59" s="75" t="str">
        <f t="shared" si="14"/>
        <v>93101PV6</v>
      </c>
      <c r="DL59" s="78" t="s">
        <v>2065</v>
      </c>
      <c r="DM59" s="78" t="s">
        <v>3254</v>
      </c>
      <c r="DN59" s="438">
        <f>IF(AV115=TRUE,ASC(#REF!),0)</f>
        <v>0</v>
      </c>
      <c r="DO59" s="30"/>
      <c r="DP59" s="30"/>
      <c r="DQ59" s="367"/>
      <c r="DR59" s="367"/>
      <c r="DS59" s="367"/>
      <c r="DT59" s="367"/>
      <c r="DU59" s="367"/>
      <c r="DV59" s="27"/>
      <c r="DX59" s="85"/>
      <c r="DY59" s="85"/>
    </row>
    <row r="60" spans="1:129" ht="19.5" customHeight="1" thickBot="1">
      <c r="A60" s="354"/>
      <c r="B60" s="181"/>
      <c r="C60" s="2163" t="s">
        <v>2070</v>
      </c>
      <c r="D60" s="2164"/>
      <c r="E60" s="2164"/>
      <c r="F60" s="2164"/>
      <c r="G60" s="2164"/>
      <c r="H60" s="2164"/>
      <c r="I60" s="2165"/>
      <c r="J60" s="378"/>
      <c r="K60" s="378"/>
      <c r="L60" s="2185" t="s">
        <v>2243</v>
      </c>
      <c r="M60" s="2186"/>
      <c r="N60" s="2187"/>
      <c r="O60" s="2768" t="s">
        <v>1071</v>
      </c>
      <c r="P60" s="2768"/>
      <c r="Q60" s="2764">
        <v>0</v>
      </c>
      <c r="R60" s="2764"/>
      <c r="S60" s="2764"/>
      <c r="T60" s="2764"/>
      <c r="U60" s="2764">
        <v>0</v>
      </c>
      <c r="V60" s="2764"/>
      <c r="W60" s="2764"/>
      <c r="X60" s="2764"/>
      <c r="Y60" s="2148">
        <v>2.98E-2</v>
      </c>
      <c r="Z60" s="2148"/>
      <c r="AA60" s="2148"/>
      <c r="AB60" s="2148"/>
      <c r="AC60" s="2148">
        <v>0</v>
      </c>
      <c r="AD60" s="2148"/>
      <c r="AE60" s="2148"/>
      <c r="AF60" s="2148"/>
      <c r="AG60" s="2149">
        <v>0</v>
      </c>
      <c r="AH60" s="2149"/>
      <c r="AI60" s="2149"/>
      <c r="AJ60" s="2149"/>
      <c r="AK60" s="695"/>
      <c r="AL60" s="696"/>
      <c r="AM60" s="696"/>
      <c r="AN60" s="697"/>
      <c r="AO60" s="697"/>
      <c r="AP60" s="697"/>
      <c r="AQ60" s="697"/>
      <c r="AR60" s="698" t="s">
        <v>3355</v>
      </c>
      <c r="AS60" s="2150" t="s">
        <v>3356</v>
      </c>
      <c r="AT60" s="2151"/>
      <c r="AU60" s="171"/>
      <c r="AV60" s="386" t="b">
        <v>0</v>
      </c>
      <c r="AW60" s="387">
        <f>IF(AV60=TRUE,AV60*1,0)</f>
        <v>0</v>
      </c>
      <c r="AX60" s="387" t="s">
        <v>2149</v>
      </c>
      <c r="AY60" s="387" t="str">
        <f>TEXT(BR60,"000")</f>
        <v>936</v>
      </c>
      <c r="AZ60" s="387">
        <f>AW60</f>
        <v>0</v>
      </c>
      <c r="BA60" s="83" t="str">
        <f>IF(O60="2回入金","92",IF(O60="1回入金","91",""))</f>
        <v>92</v>
      </c>
      <c r="BB60" s="50" t="s">
        <v>2148</v>
      </c>
      <c r="BC60" s="83" t="s">
        <v>2067</v>
      </c>
      <c r="BD60" s="83">
        <f>ROW(C60)</f>
        <v>60</v>
      </c>
      <c r="BE60" s="83">
        <f>IF(AY60&amp;BC60=AY59&amp;BC59,BE59+1,1)</f>
        <v>1</v>
      </c>
      <c r="BF60" s="83" t="str">
        <f>AY60&amp;BC60&amp;BE60</f>
        <v>936000001</v>
      </c>
      <c r="BG60" s="83"/>
      <c r="BH60" s="83"/>
      <c r="BI60" s="83" t="str">
        <f>BR60&amp;"01"</f>
        <v>93601</v>
      </c>
      <c r="BJ60" s="83">
        <f>IF(L60=$BC$2,1,0)</f>
        <v>1</v>
      </c>
      <c r="BK60" s="83">
        <f>AZ60</f>
        <v>0</v>
      </c>
      <c r="BL60" s="628" t="str">
        <f ca="1">IF($AW60=0,"",INDIRECT(ADDRESS($BD60,BL$8)))</f>
        <v/>
      </c>
      <c r="BM60" s="628" t="str">
        <f ca="1">IF($AW60=0,"",INDIRECT(ADDRESS($BD60,BM$8)))</f>
        <v/>
      </c>
      <c r="BN60" s="391" t="str">
        <f ca="1">IF($AW60=0,"",INDIRECT(ADDRESS($BD60,BN$8)))</f>
        <v/>
      </c>
      <c r="BO60" s="391" t="str">
        <f ca="1">IF($AW60=0,"",INDIRECT(ADDRESS($BD60,BO$8)))</f>
        <v/>
      </c>
      <c r="BP60" s="388" t="str">
        <f ca="1">IF($AW60=0,"",INDIRECT(ADDRESS($BD60,BP$8)))</f>
        <v/>
      </c>
      <c r="BQ60" s="431"/>
      <c r="BR60" s="83">
        <v>936</v>
      </c>
      <c r="BZ60" s="369" t="s">
        <v>957</v>
      </c>
      <c r="CA60" s="586" t="str">
        <f t="shared" si="16"/>
        <v>1608567</v>
      </c>
      <c r="CB60" s="82" t="s">
        <v>963</v>
      </c>
      <c r="CD60" s="108">
        <v>6261</v>
      </c>
      <c r="CE60" s="108" t="s">
        <v>5682</v>
      </c>
      <c r="CF60" s="108">
        <v>6261</v>
      </c>
      <c r="CG60" s="27"/>
      <c r="CH60" s="49" t="s">
        <v>423</v>
      </c>
      <c r="CI60" s="49" t="s">
        <v>19</v>
      </c>
      <c r="CJ60" s="49">
        <v>9</v>
      </c>
      <c r="CK60" s="49" t="s">
        <v>216</v>
      </c>
      <c r="CL60" s="49" t="s">
        <v>424</v>
      </c>
      <c r="CM60" s="49"/>
      <c r="CN60" s="49"/>
      <c r="CO60" s="60" t="s">
        <v>203</v>
      </c>
      <c r="CP60" s="61" t="str">
        <f>ASC(記入シート1!Z89)</f>
        <v/>
      </c>
      <c r="CQ60" s="2"/>
      <c r="CR60" s="45"/>
      <c r="CS60" s="45"/>
      <c r="CT60" s="45"/>
      <c r="CU60" s="45"/>
      <c r="CV60" s="10"/>
      <c r="CW60" s="8" t="s">
        <v>4353</v>
      </c>
      <c r="CX60" s="8"/>
      <c r="CY60" s="906" t="s">
        <v>4403</v>
      </c>
      <c r="CZ60" s="906" t="s">
        <v>4383</v>
      </c>
      <c r="DA60" s="906"/>
      <c r="DB60" s="71" t="str">
        <f t="shared" si="2"/>
        <v>001</v>
      </c>
      <c r="DC60" s="101" t="s">
        <v>4390</v>
      </c>
      <c r="DD60" s="72" t="str">
        <f>IF(AV156=0,"",AV156)</f>
        <v/>
      </c>
      <c r="DE60" s="87"/>
      <c r="DF60" s="64"/>
      <c r="DG60" s="64"/>
      <c r="DH60" s="435" t="s">
        <v>2151</v>
      </c>
      <c r="DI60" s="436" t="s">
        <v>3245</v>
      </c>
      <c r="DJ60" s="436"/>
      <c r="DK60" s="75" t="str">
        <f t="shared" si="14"/>
        <v>93101PV7</v>
      </c>
      <c r="DL60" s="78" t="s">
        <v>2065</v>
      </c>
      <c r="DM60" s="78" t="s">
        <v>3255</v>
      </c>
      <c r="DN60" s="438" t="str">
        <f>T(記入シート1!I31)</f>
        <v/>
      </c>
      <c r="DO60" s="30"/>
      <c r="DP60" s="30"/>
      <c r="DQ60" s="367"/>
      <c r="DR60" s="367"/>
      <c r="DS60" s="367"/>
      <c r="DT60" s="367"/>
      <c r="DU60" s="367"/>
      <c r="DV60" s="27"/>
      <c r="DX60" s="85"/>
      <c r="DY60" s="85"/>
    </row>
    <row r="61" spans="1:129" ht="19.5" customHeight="1" thickTop="1">
      <c r="A61" s="354"/>
      <c r="B61" s="181"/>
      <c r="C61" s="2058"/>
      <c r="D61" s="2059"/>
      <c r="E61" s="2059"/>
      <c r="F61" s="2059"/>
      <c r="G61" s="2059"/>
      <c r="H61" s="2059"/>
      <c r="I61" s="2060"/>
      <c r="J61" s="2152" t="s">
        <v>2071</v>
      </c>
      <c r="K61" s="2153"/>
      <c r="L61" s="2153"/>
      <c r="M61" s="2153"/>
      <c r="N61" s="2154"/>
      <c r="O61" s="2155" t="s">
        <v>2072</v>
      </c>
      <c r="P61" s="2156"/>
      <c r="Q61" s="2859" t="s">
        <v>2270</v>
      </c>
      <c r="R61" s="2860"/>
      <c r="S61" s="2860"/>
      <c r="T61" s="2860"/>
      <c r="U61" s="2860"/>
      <c r="V61" s="2860"/>
      <c r="W61" s="2860"/>
      <c r="X61" s="2861"/>
      <c r="Y61" s="2160" t="s">
        <v>2074</v>
      </c>
      <c r="Z61" s="2160"/>
      <c r="AA61" s="2891" t="s">
        <v>2337</v>
      </c>
      <c r="AB61" s="2892"/>
      <c r="AC61" s="2892"/>
      <c r="AD61" s="2892"/>
      <c r="AE61" s="2892"/>
      <c r="AF61" s="2892"/>
      <c r="AG61" s="2892"/>
      <c r="AH61" s="2892"/>
      <c r="AI61" s="2892"/>
      <c r="AJ61" s="2892"/>
      <c r="AK61" s="2892"/>
      <c r="AL61" s="2892"/>
      <c r="AM61" s="2892"/>
      <c r="AN61" s="2892"/>
      <c r="AO61" s="2892"/>
      <c r="AP61" s="2892"/>
      <c r="AQ61" s="2892"/>
      <c r="AR61" s="2892"/>
      <c r="AS61" s="2892"/>
      <c r="AT61" s="250"/>
      <c r="AU61" s="171"/>
      <c r="AV61" s="386" t="str">
        <f>LEFT(Q61,4)</f>
        <v>1500</v>
      </c>
      <c r="AW61" s="536" t="str">
        <f>MID(Q61,6,LEN(Q61)-5)</f>
        <v>サービス</v>
      </c>
      <c r="AY61" s="699" t="str">
        <f>IF(AS60="","0",LEFT(AS60,1))</f>
        <v>0</v>
      </c>
      <c r="BT61" s="4"/>
      <c r="BU61" s="4"/>
      <c r="BV61" s="4"/>
      <c r="BZ61" s="369" t="s">
        <v>1330</v>
      </c>
      <c r="CA61" s="586" t="str">
        <f t="shared" si="16"/>
        <v>1608568</v>
      </c>
      <c r="CB61" s="82" t="s">
        <v>964</v>
      </c>
      <c r="CD61" s="108">
        <v>6262</v>
      </c>
      <c r="CE61" s="108" t="s">
        <v>5683</v>
      </c>
      <c r="CF61" s="108">
        <v>6262</v>
      </c>
      <c r="CG61" s="27"/>
      <c r="CH61" s="49" t="s">
        <v>425</v>
      </c>
      <c r="CI61" s="49" t="s">
        <v>19</v>
      </c>
      <c r="CJ61" s="49">
        <v>9</v>
      </c>
      <c r="CK61" s="49" t="s">
        <v>216</v>
      </c>
      <c r="CL61" s="49" t="s">
        <v>424</v>
      </c>
      <c r="CM61" s="49"/>
      <c r="CN61" s="49"/>
      <c r="CO61" s="60" t="s">
        <v>200</v>
      </c>
      <c r="CP61" s="61" t="str">
        <f>ASC(記入シート1!AG89)</f>
        <v/>
      </c>
      <c r="CQ61" s="2"/>
      <c r="CR61" s="45"/>
      <c r="CS61" s="45"/>
      <c r="CT61" s="45"/>
      <c r="CU61" s="45"/>
      <c r="CV61" s="10"/>
      <c r="CW61" s="8" t="s">
        <v>4354</v>
      </c>
      <c r="CX61" s="8"/>
      <c r="CY61" s="906" t="s">
        <v>4404</v>
      </c>
      <c r="CZ61" s="906" t="s">
        <v>4383</v>
      </c>
      <c r="DA61" s="906"/>
      <c r="DB61" s="71" t="str">
        <f t="shared" si="2"/>
        <v>001</v>
      </c>
      <c r="DC61" s="101" t="s">
        <v>4391</v>
      </c>
      <c r="DD61" s="687">
        <f>IF(AW156=0,2,AW156)</f>
        <v>2</v>
      </c>
      <c r="DE61" s="87"/>
      <c r="DF61" s="64"/>
      <c r="DG61" s="64"/>
      <c r="DH61" s="435" t="s">
        <v>2151</v>
      </c>
      <c r="DI61" s="436" t="s">
        <v>3246</v>
      </c>
      <c r="DJ61" s="436"/>
      <c r="DK61" s="75" t="str">
        <f t="shared" si="14"/>
        <v>93101PV8</v>
      </c>
      <c r="DL61" s="78" t="s">
        <v>2065</v>
      </c>
      <c r="DM61" s="78" t="s">
        <v>3256</v>
      </c>
      <c r="DN61" s="438" t="str">
        <f>T(記入シート1!AB64)</f>
        <v/>
      </c>
      <c r="DO61" s="30"/>
      <c r="DP61" s="30"/>
      <c r="DQ61" s="367"/>
      <c r="DR61" s="367"/>
      <c r="DS61" s="367"/>
      <c r="DT61" s="367"/>
      <c r="DU61" s="367"/>
      <c r="DV61" s="27"/>
      <c r="DX61" s="85"/>
      <c r="DY61" s="85"/>
    </row>
    <row r="62" spans="1:129" ht="19.5" customHeight="1" thickBot="1">
      <c r="A62" s="354"/>
      <c r="B62" s="181"/>
      <c r="C62" s="2061"/>
      <c r="D62" s="2062"/>
      <c r="E62" s="2062"/>
      <c r="F62" s="2062"/>
      <c r="G62" s="2062"/>
      <c r="H62" s="2062"/>
      <c r="I62" s="2063"/>
      <c r="J62" s="2166" t="s">
        <v>4858</v>
      </c>
      <c r="K62" s="2167"/>
      <c r="L62" s="2167"/>
      <c r="M62" s="2167"/>
      <c r="N62" s="2168"/>
      <c r="O62" s="537"/>
      <c r="P62" s="2169" t="s">
        <v>3770</v>
      </c>
      <c r="Q62" s="2169"/>
      <c r="R62" s="2169"/>
      <c r="S62" s="2169"/>
      <c r="T62" s="376"/>
      <c r="U62" s="2170" t="s">
        <v>2075</v>
      </c>
      <c r="V62" s="2170"/>
      <c r="W62" s="2170"/>
      <c r="X62" s="2171"/>
      <c r="Y62" s="911"/>
      <c r="Z62" s="912"/>
      <c r="AA62" s="912"/>
      <c r="AB62" s="912"/>
      <c r="AC62" s="912"/>
      <c r="AD62" s="912"/>
      <c r="AE62" s="912"/>
      <c r="AF62" s="912"/>
      <c r="AG62" s="912"/>
      <c r="AH62" s="912"/>
      <c r="AI62" s="912"/>
      <c r="AJ62" s="912"/>
      <c r="AK62" s="2736" t="s">
        <v>5828</v>
      </c>
      <c r="AL62" s="2737"/>
      <c r="AM62" s="2737"/>
      <c r="AN62" s="2737"/>
      <c r="AO62" s="2737"/>
      <c r="AP62" s="2737"/>
      <c r="AQ62" s="2737"/>
      <c r="AR62" s="2737"/>
      <c r="AS62" s="2737"/>
      <c r="AT62" s="2738"/>
      <c r="AU62" s="171"/>
      <c r="AV62" s="386" t="str">
        <f>LEFT(AA61,4)</f>
        <v>1506</v>
      </c>
      <c r="AW62" s="20" t="str">
        <f>MID(AA61,6,LEN(AA61)-5)</f>
        <v>モーテル・ラブホテル</v>
      </c>
      <c r="BA62" s="2" t="str">
        <f>LEFT(O64,4)</f>
        <v>1900</v>
      </c>
      <c r="BB62" s="2" t="str">
        <f>MID(O64,6,LEN(O64)-5)</f>
        <v>施設利用料</v>
      </c>
      <c r="BC62" s="2" t="str">
        <f>VLOOKUP(BA63,AZ415:BB519,3,FALSE)</f>
        <v>37</v>
      </c>
      <c r="BT62" s="4"/>
      <c r="BU62" s="4"/>
      <c r="BV62" s="4"/>
      <c r="BZ62" s="369" t="s">
        <v>966</v>
      </c>
      <c r="CA62" s="586" t="str">
        <f t="shared" si="16"/>
        <v>9999992</v>
      </c>
      <c r="CB62" s="82" t="s">
        <v>967</v>
      </c>
      <c r="CC62" s="4"/>
      <c r="CD62" s="108">
        <v>6282</v>
      </c>
      <c r="CE62" s="108" t="s">
        <v>5728</v>
      </c>
      <c r="CF62" s="108">
        <v>6282</v>
      </c>
      <c r="CG62" s="27"/>
      <c r="CH62" s="49" t="s">
        <v>426</v>
      </c>
      <c r="CI62" s="49" t="s">
        <v>19</v>
      </c>
      <c r="CJ62" s="49">
        <v>9</v>
      </c>
      <c r="CK62" s="49" t="s">
        <v>216</v>
      </c>
      <c r="CL62" s="49" t="s">
        <v>424</v>
      </c>
      <c r="CM62" s="49"/>
      <c r="CN62" s="49"/>
      <c r="CO62" s="60" t="s">
        <v>427</v>
      </c>
      <c r="CP62" s="61" t="str">
        <f>ASC(記入シート1!AP89)</f>
        <v/>
      </c>
      <c r="CQ62" s="2"/>
      <c r="CR62" s="45"/>
      <c r="CS62" s="45"/>
      <c r="CT62" s="45"/>
      <c r="CU62" s="45"/>
      <c r="CV62" s="10"/>
      <c r="CW62" s="8" t="s">
        <v>4355</v>
      </c>
      <c r="CX62" s="8"/>
      <c r="CY62" s="906" t="s">
        <v>4405</v>
      </c>
      <c r="CZ62" s="906" t="s">
        <v>4383</v>
      </c>
      <c r="DA62" s="906"/>
      <c r="DB62" s="71" t="str">
        <f t="shared" si="2"/>
        <v>001</v>
      </c>
      <c r="DC62" s="101" t="s">
        <v>4392</v>
      </c>
      <c r="DD62" s="72" t="str">
        <f>IF(AV157=0,"",AV157)</f>
        <v/>
      </c>
      <c r="DE62" s="87"/>
      <c r="DF62" s="64"/>
      <c r="DG62" s="64"/>
      <c r="DH62" s="435" t="s">
        <v>2151</v>
      </c>
      <c r="DI62" s="436" t="s">
        <v>3247</v>
      </c>
      <c r="DJ62" s="436"/>
      <c r="DK62" s="75" t="str">
        <f t="shared" si="14"/>
        <v>93101PV9</v>
      </c>
      <c r="DL62" s="78" t="s">
        <v>2065</v>
      </c>
      <c r="DM62" s="78" t="s">
        <v>3257</v>
      </c>
      <c r="DN62" s="438" t="str">
        <f>T(記入シート1!AB67)</f>
        <v/>
      </c>
      <c r="DO62" s="30"/>
      <c r="DP62" s="30"/>
      <c r="DQ62" s="367"/>
      <c r="DR62" s="367"/>
      <c r="DS62" s="367"/>
      <c r="DT62" s="367"/>
      <c r="DU62" s="367"/>
      <c r="DV62" s="27"/>
      <c r="DX62" s="85"/>
      <c r="DY62" s="85"/>
    </row>
    <row r="63" spans="1:129" ht="19.5" customHeight="1" thickTop="1" thickBot="1">
      <c r="A63" s="354"/>
      <c r="B63" s="181"/>
      <c r="C63" s="2126" t="s">
        <v>2244</v>
      </c>
      <c r="D63" s="2127"/>
      <c r="E63" s="2127"/>
      <c r="F63" s="2127"/>
      <c r="G63" s="2127"/>
      <c r="H63" s="2127"/>
      <c r="I63" s="2128"/>
      <c r="J63" s="856"/>
      <c r="K63" s="857"/>
      <c r="L63" s="2132" t="s">
        <v>642</v>
      </c>
      <c r="M63" s="2133"/>
      <c r="N63" s="2134"/>
      <c r="O63" s="2789" t="s">
        <v>1071</v>
      </c>
      <c r="P63" s="2789"/>
      <c r="Q63" s="2749">
        <v>0</v>
      </c>
      <c r="R63" s="2750"/>
      <c r="S63" s="2750"/>
      <c r="T63" s="2751"/>
      <c r="U63" s="2749">
        <v>0</v>
      </c>
      <c r="V63" s="2750"/>
      <c r="W63" s="2750"/>
      <c r="X63" s="2751"/>
      <c r="Y63" s="2139">
        <v>3.5400000000000001E-2</v>
      </c>
      <c r="Z63" s="2139"/>
      <c r="AA63" s="2139"/>
      <c r="AB63" s="2139"/>
      <c r="AC63" s="2140">
        <v>0</v>
      </c>
      <c r="AD63" s="2141"/>
      <c r="AE63" s="2141"/>
      <c r="AF63" s="2142"/>
      <c r="AG63" s="2136">
        <v>0</v>
      </c>
      <c r="AH63" s="2137"/>
      <c r="AI63" s="2137"/>
      <c r="AJ63" s="2138"/>
      <c r="AK63" s="1018"/>
      <c r="AL63" s="1008"/>
      <c r="AM63" s="1008"/>
      <c r="AN63" s="1008"/>
      <c r="AO63" s="1008"/>
      <c r="AP63" s="2030" t="s">
        <v>5126</v>
      </c>
      <c r="AQ63" s="2030"/>
      <c r="AR63" s="2030"/>
      <c r="AS63" s="2031" t="s">
        <v>3652</v>
      </c>
      <c r="AT63" s="2032"/>
      <c r="AU63" s="171"/>
      <c r="AV63" s="386">
        <v>0</v>
      </c>
      <c r="AW63" s="538" t="str">
        <f>IF(AV60=TRUE,IF(AND(AV63&lt;&gt;0,AV61&lt;&gt;"0000",AV62&lt;&gt;"0000",LEFT(AV61,2)=LEFT(AV62,2)),"OK","NG"),"OK")</f>
        <v>OK</v>
      </c>
      <c r="AX63" s="499" t="s">
        <v>2076</v>
      </c>
      <c r="BA63" s="2" t="str">
        <f>LEFT(AA64,4)</f>
        <v>1903</v>
      </c>
      <c r="BB63" s="2" t="str">
        <f>MID(AA64,6,LEN(AA64)-5)</f>
        <v>宿泊代</v>
      </c>
      <c r="BC63" s="914" t="str">
        <f>IF(AV64=TRUE,IF(AND(BA62&lt;&gt;0,BA62&lt;&gt;"0000",BA63&lt;&gt;"0000",LEFT(BA62,2)=LEFT(BA63,2)),"OK","NG"),"OK")</f>
        <v>OK</v>
      </c>
      <c r="BD63" s="914" t="s">
        <v>4859</v>
      </c>
      <c r="BT63" s="4"/>
      <c r="BU63" s="4"/>
      <c r="BV63" s="4"/>
      <c r="BW63" s="4"/>
      <c r="BZ63" s="369" t="s">
        <v>1331</v>
      </c>
      <c r="CA63" s="586" t="str">
        <f t="shared" ref="CA63:CA68" si="18">TEXT(BZ63,"0000000")</f>
        <v>9999999</v>
      </c>
      <c r="CB63" s="82" t="s">
        <v>969</v>
      </c>
      <c r="CC63" s="4"/>
      <c r="CD63" s="108">
        <v>6283</v>
      </c>
      <c r="CE63" s="108" t="s">
        <v>5729</v>
      </c>
      <c r="CF63" s="108">
        <v>6283</v>
      </c>
      <c r="CG63" s="27"/>
      <c r="CH63" s="49" t="s">
        <v>428</v>
      </c>
      <c r="CI63" s="49" t="s">
        <v>63</v>
      </c>
      <c r="CJ63" s="49">
        <v>1</v>
      </c>
      <c r="CK63" s="49" t="s">
        <v>605</v>
      </c>
      <c r="CL63" s="49" t="s">
        <v>83</v>
      </c>
      <c r="CM63" s="49" t="s">
        <v>429</v>
      </c>
      <c r="CN63" s="49" t="s">
        <v>596</v>
      </c>
      <c r="CO63" s="50" t="s">
        <v>430</v>
      </c>
      <c r="CP63" s="51">
        <f>IF(CP62="",1,IF(VALUE(CP62)&lt;1000,2,1))</f>
        <v>1</v>
      </c>
      <c r="CQ63" s="2"/>
      <c r="CR63" s="45"/>
      <c r="CS63" s="45"/>
      <c r="CT63" s="45"/>
      <c r="CU63" s="45"/>
      <c r="CV63" s="10"/>
      <c r="CW63" s="8" t="s">
        <v>4356</v>
      </c>
      <c r="CX63" s="8"/>
      <c r="CY63" s="906" t="s">
        <v>4406</v>
      </c>
      <c r="CZ63" s="907" t="s">
        <v>4383</v>
      </c>
      <c r="DA63" s="906"/>
      <c r="DB63" s="71" t="str">
        <f t="shared" si="2"/>
        <v>001</v>
      </c>
      <c r="DC63" s="101" t="s">
        <v>4393</v>
      </c>
      <c r="DD63" s="72">
        <f>IF(AV158=0,"",AV158)</f>
        <v>2</v>
      </c>
      <c r="DE63" s="87"/>
      <c r="DF63" s="64"/>
      <c r="DG63" s="64"/>
      <c r="DH63" s="435" t="s">
        <v>2151</v>
      </c>
      <c r="DI63" s="436" t="s">
        <v>3248</v>
      </c>
      <c r="DJ63" s="436"/>
      <c r="DK63" s="75" t="str">
        <f t="shared" si="14"/>
        <v>93101PVA</v>
      </c>
      <c r="DL63" s="78" t="s">
        <v>2065</v>
      </c>
      <c r="DM63" s="78" t="s">
        <v>3258</v>
      </c>
      <c r="DN63" s="438" t="str">
        <f>T(記入シート1!I83)</f>
        <v/>
      </c>
      <c r="DO63" s="30"/>
      <c r="DP63" s="30"/>
      <c r="DQ63" s="367"/>
      <c r="DR63" s="367"/>
      <c r="DS63" s="367"/>
      <c r="DT63" s="367"/>
      <c r="DU63" s="367"/>
      <c r="DV63" s="27"/>
      <c r="DX63" s="85"/>
      <c r="DY63" s="85"/>
    </row>
    <row r="64" spans="1:129" ht="19.5" customHeight="1" thickTop="1" thickBot="1">
      <c r="A64" s="354"/>
      <c r="B64" s="181"/>
      <c r="C64" s="2129"/>
      <c r="D64" s="2130"/>
      <c r="E64" s="2130"/>
      <c r="F64" s="2130"/>
      <c r="G64" s="2130"/>
      <c r="H64" s="2130"/>
      <c r="I64" s="2131"/>
      <c r="J64" s="1678" t="s">
        <v>1087</v>
      </c>
      <c r="K64" s="1632"/>
      <c r="L64" s="2143"/>
      <c r="M64" s="2143"/>
      <c r="N64" s="2144"/>
      <c r="O64" s="2099" t="s">
        <v>4560</v>
      </c>
      <c r="P64" s="2099"/>
      <c r="Q64" s="2099"/>
      <c r="R64" s="2099"/>
      <c r="S64" s="2099"/>
      <c r="T64" s="2099"/>
      <c r="U64" s="2099"/>
      <c r="V64" s="2099"/>
      <c r="W64" s="2099"/>
      <c r="X64" s="2099"/>
      <c r="Y64" s="2101" t="s">
        <v>3194</v>
      </c>
      <c r="Z64" s="2102"/>
      <c r="AA64" s="2145" t="s">
        <v>4498</v>
      </c>
      <c r="AB64" s="2146"/>
      <c r="AC64" s="2146"/>
      <c r="AD64" s="2146"/>
      <c r="AE64" s="2146"/>
      <c r="AF64" s="2146"/>
      <c r="AG64" s="2146"/>
      <c r="AH64" s="2146"/>
      <c r="AI64" s="2146"/>
      <c r="AJ64" s="2146"/>
      <c r="AK64" s="2146"/>
      <c r="AL64" s="2147"/>
      <c r="AM64" s="915"/>
      <c r="AN64" s="916"/>
      <c r="AO64" s="916"/>
      <c r="AP64" s="916"/>
      <c r="AQ64" s="916"/>
      <c r="AR64" s="916"/>
      <c r="AS64" s="916"/>
      <c r="AT64" s="917"/>
      <c r="AU64" s="171"/>
      <c r="AV64" s="151" t="b">
        <v>0</v>
      </c>
      <c r="AW64" s="387">
        <f>IF(AV64=TRUE,AV64*1,0)</f>
        <v>0</v>
      </c>
      <c r="AX64" s="387" t="s">
        <v>2244</v>
      </c>
      <c r="AY64" s="92" t="str">
        <f>TEXT(BR64,"000")</f>
        <v>937</v>
      </c>
      <c r="AZ64" s="92">
        <f>AW64</f>
        <v>0</v>
      </c>
      <c r="BA64" s="83" t="str">
        <f>IF(O63="2回入金","92",IF(O63="1回入金","91",""))</f>
        <v>92</v>
      </c>
      <c r="BB64" s="50" t="s">
        <v>2148</v>
      </c>
      <c r="BC64" s="825" t="s">
        <v>2109</v>
      </c>
      <c r="BD64" s="17">
        <f>ROW(C63)</f>
        <v>63</v>
      </c>
      <c r="BE64" s="17">
        <f>IF(AY64&amp;BC64=AY63&amp;BC63,BE63+1,1)</f>
        <v>1</v>
      </c>
      <c r="BF64" s="610" t="str">
        <f>AY64&amp;BC64&amp;BE64</f>
        <v>937000001</v>
      </c>
      <c r="BG64" s="611"/>
      <c r="BH64" s="612"/>
      <c r="BI64" s="611" t="str">
        <f>BR64&amp;"01"</f>
        <v>93701</v>
      </c>
      <c r="BJ64" s="611">
        <f>IF(L63=$BC$2,1,0)</f>
        <v>1</v>
      </c>
      <c r="BK64" s="17">
        <f>AZ64</f>
        <v>0</v>
      </c>
      <c r="BL64" s="613" t="str">
        <f>IF(AW64=1,Q63,"")</f>
        <v/>
      </c>
      <c r="BM64" s="613" t="str">
        <f>IF(AW64=1,U63,"")</f>
        <v/>
      </c>
      <c r="BN64" s="614" t="str">
        <f>IF(AW64=0,"",Y63)</f>
        <v/>
      </c>
      <c r="BO64" s="614" t="str">
        <f>IF(AW64=0,"",AC63)</f>
        <v/>
      </c>
      <c r="BP64" s="613" t="str">
        <f>IF(AW64=0,"",AG63)</f>
        <v/>
      </c>
      <c r="BR64" s="17">
        <v>937</v>
      </c>
      <c r="BT64" s="4"/>
      <c r="BU64" s="4"/>
      <c r="BV64" s="4"/>
      <c r="BW64" s="4"/>
      <c r="BZ64" s="255" t="s">
        <v>1333</v>
      </c>
      <c r="CA64" s="255" t="str">
        <f t="shared" si="18"/>
        <v>1610861</v>
      </c>
      <c r="CB64" s="587" t="s">
        <v>1380</v>
      </c>
      <c r="CC64" s="256"/>
      <c r="CD64" s="108">
        <v>6284</v>
      </c>
      <c r="CE64" s="108" t="s">
        <v>5730</v>
      </c>
      <c r="CF64" s="108">
        <v>6284</v>
      </c>
      <c r="CG64" s="27"/>
      <c r="CH64" s="49" t="s">
        <v>431</v>
      </c>
      <c r="CI64" s="49" t="s">
        <v>63</v>
      </c>
      <c r="CJ64" s="49">
        <v>1</v>
      </c>
      <c r="CK64" s="49" t="s">
        <v>604</v>
      </c>
      <c r="CL64" s="49" t="s">
        <v>432</v>
      </c>
      <c r="CM64" s="49" t="s">
        <v>589</v>
      </c>
      <c r="CN64" s="49" t="s">
        <v>602</v>
      </c>
      <c r="CO64" s="50" t="s">
        <v>196</v>
      </c>
      <c r="CP64" s="51">
        <f>IF(記入シート1!AV91=TRUE,1,0)</f>
        <v>0</v>
      </c>
      <c r="CQ64" s="2"/>
      <c r="CR64" s="45"/>
      <c r="CS64" s="45"/>
      <c r="CT64" s="45"/>
      <c r="CU64" s="45"/>
      <c r="CV64" s="10"/>
      <c r="CW64" s="8" t="s">
        <v>4357</v>
      </c>
      <c r="CX64" s="8"/>
      <c r="CY64" s="38"/>
      <c r="CZ64" s="39" t="s">
        <v>4383</v>
      </c>
      <c r="DA64" s="38"/>
      <c r="DB64" s="71" t="str">
        <f t="shared" si="2"/>
        <v>001</v>
      </c>
      <c r="DC64" s="101" t="s">
        <v>4394</v>
      </c>
      <c r="DD64" s="72" t="str">
        <f>IF(OR(AV159=0,AV159=1,AK159=""),"",AK159)</f>
        <v/>
      </c>
      <c r="DE64" s="87"/>
      <c r="DF64" s="64"/>
      <c r="DG64" s="64"/>
      <c r="DH64" s="435" t="s">
        <v>2151</v>
      </c>
      <c r="DI64" s="436" t="s">
        <v>3249</v>
      </c>
      <c r="DJ64" s="436"/>
      <c r="DK64" s="75" t="str">
        <f t="shared" si="14"/>
        <v>93101PVB</v>
      </c>
      <c r="DL64" s="78" t="s">
        <v>2065</v>
      </c>
      <c r="DM64" s="78" t="s">
        <v>3259</v>
      </c>
      <c r="DN64" s="438" t="str">
        <f>"+81"&amp;MID(SUBSTITUTE(ASC(CP52),"-",""),2,15)</f>
        <v>+81</v>
      </c>
      <c r="DO64" s="30"/>
      <c r="DP64" s="30"/>
      <c r="DQ64" s="367"/>
      <c r="DR64" s="367"/>
      <c r="DS64" s="367"/>
      <c r="DT64" s="367"/>
      <c r="DU64" s="367"/>
      <c r="DV64" s="27"/>
      <c r="DX64" s="85"/>
      <c r="DY64" s="85"/>
    </row>
    <row r="65" spans="1:129" ht="19.5" customHeight="1" thickTop="1" thickBot="1">
      <c r="A65" s="354"/>
      <c r="B65" s="181"/>
      <c r="C65" s="2055" t="s">
        <v>2110</v>
      </c>
      <c r="D65" s="2056"/>
      <c r="E65" s="2056"/>
      <c r="F65" s="2056"/>
      <c r="G65" s="2056"/>
      <c r="H65" s="2056"/>
      <c r="I65" s="2057"/>
      <c r="J65" s="607"/>
      <c r="K65" s="608"/>
      <c r="L65" s="2033" t="s">
        <v>3837</v>
      </c>
      <c r="M65" s="2034"/>
      <c r="N65" s="2035"/>
      <c r="O65" s="2752" t="s">
        <v>1071</v>
      </c>
      <c r="P65" s="2752"/>
      <c r="Q65" s="2749">
        <v>0</v>
      </c>
      <c r="R65" s="2750"/>
      <c r="S65" s="2750"/>
      <c r="T65" s="2751"/>
      <c r="U65" s="2749">
        <v>0</v>
      </c>
      <c r="V65" s="2750"/>
      <c r="W65" s="2750"/>
      <c r="X65" s="2751"/>
      <c r="Y65" s="2089">
        <v>3.5400000000000001E-2</v>
      </c>
      <c r="Z65" s="2090"/>
      <c r="AA65" s="2090"/>
      <c r="AB65" s="2091"/>
      <c r="AC65" s="2089">
        <v>0</v>
      </c>
      <c r="AD65" s="2090"/>
      <c r="AE65" s="2090"/>
      <c r="AF65" s="2091"/>
      <c r="AG65" s="2092">
        <v>0</v>
      </c>
      <c r="AH65" s="2093"/>
      <c r="AI65" s="2093"/>
      <c r="AJ65" s="2094"/>
      <c r="AK65" s="2755"/>
      <c r="AL65" s="2756"/>
      <c r="AM65" s="2756"/>
      <c r="AN65" s="2753"/>
      <c r="AO65" s="2753"/>
      <c r="AP65" s="2753"/>
      <c r="AQ65" s="2753"/>
      <c r="AR65" s="2753"/>
      <c r="AS65" s="2753"/>
      <c r="AT65" s="2754"/>
      <c r="AU65" s="171"/>
      <c r="AV65" s="151" t="b">
        <v>0</v>
      </c>
      <c r="AW65" s="387">
        <f>IF(AV65=TRUE,AV65*1,0)</f>
        <v>0</v>
      </c>
      <c r="AX65" s="387" t="s">
        <v>2110</v>
      </c>
      <c r="AY65" s="92" t="str">
        <f>TEXT(BR65,"000")</f>
        <v>938</v>
      </c>
      <c r="AZ65" s="92">
        <f>AW65</f>
        <v>0</v>
      </c>
      <c r="BA65" s="83" t="str">
        <f>IF(O65="2回入金","92",IF(O65="1回入金","91",""))</f>
        <v>92</v>
      </c>
      <c r="BB65" s="50" t="s">
        <v>2148</v>
      </c>
      <c r="BC65" s="84" t="s">
        <v>2109</v>
      </c>
      <c r="BD65" s="17">
        <f>ROW(C65)</f>
        <v>65</v>
      </c>
      <c r="BE65" s="17">
        <f>IF(AY65&amp;BC65=AY64&amp;BC64,BE64+1,1)</f>
        <v>1</v>
      </c>
      <c r="BF65" s="610" t="str">
        <f>AY65&amp;BC65&amp;BE65</f>
        <v>938000001</v>
      </c>
      <c r="BG65" s="611"/>
      <c r="BH65" s="612"/>
      <c r="BI65" s="611" t="str">
        <f>BR65&amp;"01"</f>
        <v>93801</v>
      </c>
      <c r="BJ65" s="611">
        <f>IF(L65=$BC$2,1,0)</f>
        <v>1</v>
      </c>
      <c r="BK65" s="17">
        <f>AZ65</f>
        <v>0</v>
      </c>
      <c r="BL65" s="613" t="str">
        <f>IF(AW65=1,Q65,"")</f>
        <v/>
      </c>
      <c r="BM65" s="613" t="str">
        <f>IF(AW65=1,U65,"")</f>
        <v/>
      </c>
      <c r="BN65" s="614" t="str">
        <f>IF(AW65=0,"",Y65)</f>
        <v/>
      </c>
      <c r="BO65" s="614" t="str">
        <f>IF(AW65=0,"",AC65)</f>
        <v/>
      </c>
      <c r="BP65" s="613" t="str">
        <f>IF(AW65=0,"",AG65)</f>
        <v/>
      </c>
      <c r="BR65" s="17">
        <v>938</v>
      </c>
      <c r="BT65" s="4"/>
      <c r="BU65" s="4"/>
      <c r="BV65" s="4"/>
      <c r="BW65" s="4"/>
      <c r="BZ65" s="255" t="s">
        <v>1332</v>
      </c>
      <c r="CA65" s="255" t="str">
        <f t="shared" si="18"/>
        <v>1610862</v>
      </c>
      <c r="CB65" s="587" t="s">
        <v>1381</v>
      </c>
      <c r="CC65" s="256"/>
      <c r="CD65" s="108">
        <v>6286</v>
      </c>
      <c r="CE65" s="108" t="s">
        <v>5731</v>
      </c>
      <c r="CF65" s="108">
        <v>6286</v>
      </c>
      <c r="CG65" s="27"/>
      <c r="CH65" s="49" t="s">
        <v>434</v>
      </c>
      <c r="CI65" s="49" t="s">
        <v>63</v>
      </c>
      <c r="CJ65" s="49">
        <v>1</v>
      </c>
      <c r="CK65" s="49" t="s">
        <v>216</v>
      </c>
      <c r="CL65" s="49" t="s">
        <v>432</v>
      </c>
      <c r="CM65" s="49" t="s">
        <v>433</v>
      </c>
      <c r="CN65" s="49" t="s">
        <v>602</v>
      </c>
      <c r="CO65" s="50" t="s">
        <v>193</v>
      </c>
      <c r="CP65" s="51">
        <f>IF(記入シート1!AW91=TRUE,1,0)</f>
        <v>0</v>
      </c>
      <c r="CQ65" s="2"/>
      <c r="CR65" s="45"/>
      <c r="CS65" s="45"/>
      <c r="CT65" s="45"/>
      <c r="CU65" s="45"/>
      <c r="CV65" s="10"/>
      <c r="CW65" s="8" t="s">
        <v>4358</v>
      </c>
      <c r="CX65" s="8"/>
      <c r="CY65" s="38" t="s">
        <v>3394</v>
      </c>
      <c r="CZ65" s="39" t="s">
        <v>4383</v>
      </c>
      <c r="DA65" s="38"/>
      <c r="DB65" s="71" t="str">
        <f t="shared" si="2"/>
        <v>001</v>
      </c>
      <c r="DC65" s="77" t="s">
        <v>4395</v>
      </c>
      <c r="DD65" s="72">
        <f>IF(AV160=0,"",IF(AV160=1,0,1))</f>
        <v>0</v>
      </c>
      <c r="DE65" s="87"/>
      <c r="DF65" s="64"/>
      <c r="DG65" s="64"/>
      <c r="DH65" s="435" t="s">
        <v>2151</v>
      </c>
      <c r="DI65" s="436" t="s">
        <v>3250</v>
      </c>
      <c r="DJ65" s="436"/>
      <c r="DK65" s="75" t="str">
        <f t="shared" si="14"/>
        <v>93101PVC</v>
      </c>
      <c r="DL65" s="78" t="s">
        <v>2065</v>
      </c>
      <c r="DM65" s="78" t="s">
        <v>3260</v>
      </c>
      <c r="DN65" s="438" t="str">
        <f>ASC(AV46)</f>
        <v/>
      </c>
      <c r="DO65" s="30"/>
      <c r="DP65" s="30"/>
      <c r="DQ65" s="367"/>
      <c r="DR65" s="367"/>
      <c r="DS65" s="367"/>
      <c r="DT65" s="367"/>
      <c r="DU65" s="367"/>
      <c r="DV65" s="27"/>
      <c r="DX65" s="85"/>
      <c r="DY65" s="85"/>
    </row>
    <row r="66" spans="1:129" ht="19.5" customHeight="1" thickTop="1" thickBot="1">
      <c r="A66" s="354"/>
      <c r="B66" s="181"/>
      <c r="C66" s="2061"/>
      <c r="D66" s="2062"/>
      <c r="E66" s="2062"/>
      <c r="F66" s="2062"/>
      <c r="G66" s="2062"/>
      <c r="H66" s="2062"/>
      <c r="I66" s="2063"/>
      <c r="J66" s="2116" t="s">
        <v>2112</v>
      </c>
      <c r="K66" s="1377"/>
      <c r="L66" s="1377"/>
      <c r="M66" s="1377"/>
      <c r="N66" s="2117"/>
      <c r="O66" s="2118" t="s">
        <v>2147</v>
      </c>
      <c r="P66" s="2119"/>
      <c r="Q66" s="2119"/>
      <c r="R66" s="2119"/>
      <c r="S66" s="2119"/>
      <c r="T66" s="2119"/>
      <c r="U66" s="2119"/>
      <c r="V66" s="2119"/>
      <c r="W66" s="2119"/>
      <c r="X66" s="2120"/>
      <c r="Y66" s="2121" t="s">
        <v>3191</v>
      </c>
      <c r="Z66" s="2122"/>
      <c r="AA66" s="2122"/>
      <c r="AB66" s="2123"/>
      <c r="AC66" s="665"/>
      <c r="AD66" s="2122" t="s">
        <v>3192</v>
      </c>
      <c r="AE66" s="2122"/>
      <c r="AF66" s="2122"/>
      <c r="AG66" s="666"/>
      <c r="AH66" s="2124" t="s">
        <v>3193</v>
      </c>
      <c r="AI66" s="2124"/>
      <c r="AJ66" s="2125"/>
      <c r="AK66" s="604"/>
      <c r="AL66" s="605"/>
      <c r="AM66" s="605"/>
      <c r="AN66" s="605"/>
      <c r="AO66" s="605"/>
      <c r="AP66" s="605"/>
      <c r="AQ66" s="605"/>
      <c r="AR66" s="605"/>
      <c r="AS66" s="605"/>
      <c r="AT66" s="606"/>
      <c r="AU66" s="171"/>
      <c r="AV66" s="151" t="str">
        <f>LEFT(O66,2)</f>
        <v>30</v>
      </c>
      <c r="AW66" s="667">
        <v>0</v>
      </c>
      <c r="AX66" s="499" t="str">
        <f>IF(AND(AV65=TRUE,OR(AV66="00",AV66="",AW66=0)),"NG","OK")</f>
        <v>OK</v>
      </c>
      <c r="AY66" s="499" t="s">
        <v>2114</v>
      </c>
      <c r="BT66" s="4"/>
      <c r="BU66" s="4"/>
      <c r="BV66" s="4"/>
      <c r="BW66" s="4"/>
      <c r="BZ66" s="369" t="s">
        <v>1334</v>
      </c>
      <c r="CA66" s="369" t="str">
        <f t="shared" si="18"/>
        <v>1611513</v>
      </c>
      <c r="CB66" s="243" t="s">
        <v>1382</v>
      </c>
      <c r="CC66" s="256"/>
      <c r="CD66" s="108">
        <v>6300</v>
      </c>
      <c r="CE66" s="108" t="s">
        <v>5742</v>
      </c>
      <c r="CF66" s="108">
        <v>6300</v>
      </c>
      <c r="CG66" s="27"/>
      <c r="CH66" s="49" t="s">
        <v>435</v>
      </c>
      <c r="CI66" s="49" t="s">
        <v>63</v>
      </c>
      <c r="CJ66" s="49">
        <v>1</v>
      </c>
      <c r="CK66" s="49" t="s">
        <v>216</v>
      </c>
      <c r="CL66" s="49" t="s">
        <v>432</v>
      </c>
      <c r="CM66" s="49" t="s">
        <v>433</v>
      </c>
      <c r="CN66" s="49" t="s">
        <v>602</v>
      </c>
      <c r="CO66" s="50" t="s">
        <v>191</v>
      </c>
      <c r="CP66" s="51">
        <f>IF(記入シート1!AX91=TRUE,1,0)</f>
        <v>0</v>
      </c>
      <c r="CQ66" s="2"/>
      <c r="CR66" s="45"/>
      <c r="CS66" s="45"/>
      <c r="CT66" s="45"/>
      <c r="CU66" s="45"/>
      <c r="CV66" s="10"/>
      <c r="CW66" s="8" t="s">
        <v>4401</v>
      </c>
      <c r="CX66" s="8"/>
      <c r="CY66" s="38" t="s">
        <v>3394</v>
      </c>
      <c r="CZ66" s="39" t="s">
        <v>4383</v>
      </c>
      <c r="DA66" s="38"/>
      <c r="DB66" s="71" t="str">
        <f t="shared" si="2"/>
        <v>001</v>
      </c>
      <c r="DC66" s="101" t="s">
        <v>4396</v>
      </c>
      <c r="DD66" s="72">
        <f>IF(AV161=0,"",IF(AV161=1,0,1))</f>
        <v>0</v>
      </c>
      <c r="DE66" s="87"/>
      <c r="DF66" s="64"/>
      <c r="DG66" s="64"/>
      <c r="DH66" s="435" t="s">
        <v>2151</v>
      </c>
      <c r="DI66" s="436" t="s">
        <v>3251</v>
      </c>
      <c r="DJ66" s="436"/>
      <c r="DK66" s="75" t="str">
        <f t="shared" si="14"/>
        <v>93101PVD</v>
      </c>
      <c r="DL66" s="78" t="s">
        <v>2065</v>
      </c>
      <c r="DM66" s="78" t="s">
        <v>3261</v>
      </c>
      <c r="DN66" s="688" t="str">
        <f>""</f>
        <v/>
      </c>
      <c r="DO66" s="30"/>
      <c r="DP66" s="30"/>
      <c r="DQ66" s="367"/>
      <c r="DR66" s="367"/>
      <c r="DS66" s="367"/>
      <c r="DT66" s="367"/>
      <c r="DU66" s="367"/>
      <c r="DV66" s="27"/>
      <c r="DX66" s="85"/>
      <c r="DY66" s="85"/>
    </row>
    <row r="67" spans="1:129" ht="19.5" hidden="1" customHeight="1" thickTop="1" thickBot="1">
      <c r="A67" s="354" t="s">
        <v>1234</v>
      </c>
      <c r="B67" s="181"/>
      <c r="C67" s="2055" t="s">
        <v>2115</v>
      </c>
      <c r="D67" s="2056"/>
      <c r="E67" s="2056"/>
      <c r="F67" s="2056"/>
      <c r="G67" s="2056"/>
      <c r="H67" s="2056"/>
      <c r="I67" s="2057"/>
      <c r="J67" s="607"/>
      <c r="K67" s="608"/>
      <c r="L67" s="2033" t="s">
        <v>642</v>
      </c>
      <c r="M67" s="2034"/>
      <c r="N67" s="2035"/>
      <c r="O67" s="2752" t="s">
        <v>1071</v>
      </c>
      <c r="P67" s="2752"/>
      <c r="Q67" s="2749">
        <v>0</v>
      </c>
      <c r="R67" s="2750"/>
      <c r="S67" s="2750"/>
      <c r="T67" s="2751"/>
      <c r="U67" s="2749">
        <v>0</v>
      </c>
      <c r="V67" s="2750"/>
      <c r="W67" s="2750"/>
      <c r="X67" s="2751"/>
      <c r="Y67" s="2917">
        <v>0</v>
      </c>
      <c r="Z67" s="2917"/>
      <c r="AA67" s="2917"/>
      <c r="AB67" s="2917"/>
      <c r="AC67" s="2089">
        <v>0</v>
      </c>
      <c r="AD67" s="2090"/>
      <c r="AE67" s="2090"/>
      <c r="AF67" s="2091"/>
      <c r="AG67" s="2092">
        <v>0</v>
      </c>
      <c r="AH67" s="2093"/>
      <c r="AI67" s="2093"/>
      <c r="AJ67" s="2094"/>
      <c r="AK67" s="2095"/>
      <c r="AL67" s="2096"/>
      <c r="AM67" s="2096"/>
      <c r="AN67" s="2096"/>
      <c r="AO67" s="2096"/>
      <c r="AP67" s="2096"/>
      <c r="AQ67" s="2096"/>
      <c r="AR67" s="2096"/>
      <c r="AS67" s="2096"/>
      <c r="AT67" s="2097"/>
      <c r="AU67" s="171"/>
      <c r="AV67" s="151" t="b">
        <v>0</v>
      </c>
      <c r="AW67" s="387">
        <f>IF(AV67=TRUE,AV67*1,0)</f>
        <v>0</v>
      </c>
      <c r="AX67" s="387" t="s">
        <v>2115</v>
      </c>
      <c r="AY67" s="92" t="str">
        <f>TEXT(BR67,"000")</f>
        <v>939</v>
      </c>
      <c r="AZ67" s="92">
        <f>AW67</f>
        <v>0</v>
      </c>
      <c r="BA67" s="83" t="str">
        <f>IF(O67="2回入金","92",IF(O67="1回入金","91",""))</f>
        <v>92</v>
      </c>
      <c r="BB67" s="106" t="s">
        <v>2148</v>
      </c>
      <c r="BC67" s="84" t="s">
        <v>2116</v>
      </c>
      <c r="BD67" s="83">
        <f>ROW(C67)</f>
        <v>67</v>
      </c>
      <c r="BE67" s="83">
        <f>IF(AY67&amp;BC67=AY65&amp;BC65,BE65+1,1)</f>
        <v>1</v>
      </c>
      <c r="BF67" s="610" t="str">
        <f>AY67&amp;BC67&amp;BE67</f>
        <v>939000001</v>
      </c>
      <c r="BG67" s="534"/>
      <c r="BH67" s="615"/>
      <c r="BI67" s="534" t="str">
        <f>BR67&amp;"01"</f>
        <v>93901</v>
      </c>
      <c r="BJ67" s="534">
        <f>IF(L67=$BC$2,1,0)</f>
        <v>1</v>
      </c>
      <c r="BK67" s="83">
        <f>AZ67</f>
        <v>0</v>
      </c>
      <c r="BL67" s="613" t="str">
        <f>IF(AW67=1,Q67,"")</f>
        <v/>
      </c>
      <c r="BM67" s="613" t="str">
        <f>IF(AW67=1,U67,"")</f>
        <v/>
      </c>
      <c r="BN67" s="614" t="str">
        <f>IF(AW67=0,"",Y67)</f>
        <v/>
      </c>
      <c r="BO67" s="614" t="str">
        <f>IF(AW67=0,"",AC67)</f>
        <v/>
      </c>
      <c r="BP67" s="613" t="str">
        <f>IF(AW67=0,"",AG67)</f>
        <v/>
      </c>
      <c r="BR67" s="17">
        <v>939</v>
      </c>
      <c r="BT67" s="4"/>
      <c r="BU67" s="4"/>
      <c r="BV67" s="4"/>
      <c r="BW67" s="4"/>
      <c r="BZ67" s="369" t="s">
        <v>1335</v>
      </c>
      <c r="CA67" s="369" t="str">
        <f t="shared" si="18"/>
        <v>1611514</v>
      </c>
      <c r="CB67" s="243" t="s">
        <v>1383</v>
      </c>
      <c r="CC67" s="256"/>
      <c r="CD67" s="108">
        <v>6302</v>
      </c>
      <c r="CE67" s="108" t="s">
        <v>5743</v>
      </c>
      <c r="CF67" s="108">
        <v>6302</v>
      </c>
      <c r="CG67" s="27"/>
      <c r="CH67" s="49" t="s">
        <v>440</v>
      </c>
      <c r="CI67" s="49" t="s">
        <v>63</v>
      </c>
      <c r="CJ67" s="49">
        <v>1</v>
      </c>
      <c r="CK67" s="49" t="s">
        <v>216</v>
      </c>
      <c r="CL67" s="49" t="s">
        <v>441</v>
      </c>
      <c r="CM67" s="49" t="s">
        <v>442</v>
      </c>
      <c r="CN67" s="49" t="s">
        <v>602</v>
      </c>
      <c r="CO67" s="50" t="s">
        <v>189</v>
      </c>
      <c r="CP67" s="51">
        <f>IF(OR(記入シート1!AY91=TRUE,記入シート1!AZ91=TRUE,記入シート1!BA91=TRUE,記入シート1!BB91=TRUE,記入シート1!BC91=TRUE,),1,0)</f>
        <v>0</v>
      </c>
      <c r="CQ67" s="2"/>
      <c r="CR67" s="45"/>
      <c r="CS67" s="45"/>
      <c r="CT67" s="45"/>
      <c r="CU67" s="45"/>
      <c r="CV67" s="10"/>
      <c r="CW67" s="8" t="s">
        <v>4402</v>
      </c>
      <c r="CX67" s="8"/>
      <c r="CY67" s="38" t="s">
        <v>3394</v>
      </c>
      <c r="CZ67" s="39" t="s">
        <v>4383</v>
      </c>
      <c r="DA67" s="38"/>
      <c r="DB67" s="71" t="str">
        <f t="shared" si="2"/>
        <v>001</v>
      </c>
      <c r="DC67" s="101" t="s">
        <v>4397</v>
      </c>
      <c r="DD67" s="72">
        <f>IF(AW161=0,"",IF(AW161=1,0,1))</f>
        <v>0</v>
      </c>
      <c r="DE67" s="87"/>
      <c r="DF67" s="64"/>
      <c r="DG67" s="64"/>
      <c r="DH67" s="967" t="s">
        <v>3809</v>
      </c>
      <c r="DI67" s="436" t="s">
        <v>2170</v>
      </c>
      <c r="DJ67" s="626"/>
      <c r="DK67" s="75" t="str">
        <f t="shared" si="14"/>
        <v>93201PW2</v>
      </c>
      <c r="DL67" s="78" t="s">
        <v>2063</v>
      </c>
      <c r="DM67" s="78" t="s">
        <v>2181</v>
      </c>
      <c r="DN67" s="627" t="str">
        <f>T(記入シート1!I67)</f>
        <v/>
      </c>
      <c r="DO67" s="30"/>
      <c r="DP67" s="30"/>
      <c r="DQ67" s="367"/>
      <c r="DR67" s="367"/>
      <c r="DS67" s="367"/>
      <c r="DT67" s="367"/>
      <c r="DU67" s="367"/>
      <c r="DV67" s="27"/>
      <c r="DX67" s="85"/>
      <c r="DY67" s="85"/>
    </row>
    <row r="68" spans="1:129" ht="19.5" hidden="1" customHeight="1" thickTop="1">
      <c r="A68" s="354" t="s">
        <v>1234</v>
      </c>
      <c r="B68" s="181"/>
      <c r="C68" s="2058"/>
      <c r="D68" s="2059"/>
      <c r="E68" s="2059"/>
      <c r="F68" s="2059"/>
      <c r="G68" s="2059"/>
      <c r="H68" s="2059"/>
      <c r="I68" s="2060"/>
      <c r="J68" s="1678" t="s">
        <v>1028</v>
      </c>
      <c r="K68" s="1632"/>
      <c r="L68" s="1524"/>
      <c r="M68" s="1524"/>
      <c r="N68" s="1526"/>
      <c r="O68" s="2098" t="s">
        <v>2073</v>
      </c>
      <c r="P68" s="2099"/>
      <c r="Q68" s="2099"/>
      <c r="R68" s="2099"/>
      <c r="S68" s="2099"/>
      <c r="T68" s="2099"/>
      <c r="U68" s="2099"/>
      <c r="V68" s="2099"/>
      <c r="W68" s="2099"/>
      <c r="X68" s="2100"/>
      <c r="Y68" s="2101" t="s">
        <v>3194</v>
      </c>
      <c r="Z68" s="2102"/>
      <c r="AA68" s="2103" t="s">
        <v>2073</v>
      </c>
      <c r="AB68" s="2104"/>
      <c r="AC68" s="2104"/>
      <c r="AD68" s="2104"/>
      <c r="AE68" s="2104"/>
      <c r="AF68" s="2104"/>
      <c r="AG68" s="2104"/>
      <c r="AH68" s="2104"/>
      <c r="AI68" s="2104"/>
      <c r="AJ68" s="2104"/>
      <c r="AK68" s="2104"/>
      <c r="AL68" s="2105"/>
      <c r="AM68" s="862"/>
      <c r="AN68" s="863"/>
      <c r="AO68" s="863"/>
      <c r="AP68" s="863"/>
      <c r="AQ68" s="863"/>
      <c r="AR68" s="863"/>
      <c r="AS68" s="863"/>
      <c r="AT68" s="864"/>
      <c r="AU68" s="171"/>
      <c r="AV68" s="151" t="str">
        <f>LEFT(O68,4)</f>
        <v>0000</v>
      </c>
      <c r="AW68" s="536" t="str">
        <f>MID(O68,6,LEN(O68)-5)</f>
        <v>選択してください</v>
      </c>
      <c r="AX68" s="536"/>
      <c r="AY68" s="684" t="str">
        <f>IF(AV67=TRUE,IF(AND(AV68&lt;&gt;"0000",AV69&lt;&gt;"0000",LEFT(AV68,2)=LEFT(AV69,2)),"OK","NG"),"OK")</f>
        <v>OK</v>
      </c>
      <c r="AZ68" s="684" t="s">
        <v>3195</v>
      </c>
      <c r="BA68" s="673"/>
      <c r="BB68" s="673"/>
      <c r="BC68" s="674"/>
      <c r="BD68" s="673"/>
      <c r="BE68" s="673"/>
      <c r="BF68" s="675"/>
      <c r="BG68" s="676"/>
      <c r="BH68" s="677"/>
      <c r="BI68" s="676"/>
      <c r="BJ68" s="676"/>
      <c r="BK68" s="673"/>
      <c r="BL68" s="678"/>
      <c r="BM68" s="678"/>
      <c r="BN68" s="679"/>
      <c r="BO68" s="679"/>
      <c r="BP68" s="678"/>
      <c r="BR68" s="673"/>
      <c r="BT68" s="4"/>
      <c r="BU68" s="4"/>
      <c r="BV68" s="4"/>
      <c r="BW68" s="4"/>
      <c r="BZ68" s="369" t="s">
        <v>1336</v>
      </c>
      <c r="CA68" s="369" t="str">
        <f t="shared" si="18"/>
        <v>1611515</v>
      </c>
      <c r="CB68" s="243" t="s">
        <v>1384</v>
      </c>
      <c r="CC68" s="256"/>
      <c r="CD68" s="108">
        <v>6303</v>
      </c>
      <c r="CE68" s="108" t="s">
        <v>5744</v>
      </c>
      <c r="CF68" s="108">
        <v>6303</v>
      </c>
      <c r="CG68" s="27"/>
      <c r="CH68" s="49" t="s">
        <v>446</v>
      </c>
      <c r="CI68" s="49" t="s">
        <v>21</v>
      </c>
      <c r="CJ68" s="49">
        <v>60</v>
      </c>
      <c r="CK68" s="49" t="s">
        <v>362</v>
      </c>
      <c r="CL68" s="49" t="s">
        <v>441</v>
      </c>
      <c r="CM68" s="49"/>
      <c r="CN68" s="49" t="s">
        <v>603</v>
      </c>
      <c r="CO68" s="50" t="s">
        <v>186</v>
      </c>
      <c r="CP68" s="51" t="str">
        <f>T(記入シート1!N92)</f>
        <v/>
      </c>
      <c r="CQ68" s="2"/>
      <c r="CR68" s="45"/>
      <c r="CS68" s="45"/>
      <c r="CT68" s="45"/>
      <c r="CU68" s="45"/>
      <c r="CV68" s="10"/>
      <c r="CW68" s="34" t="s">
        <v>145</v>
      </c>
      <c r="CX68" s="34" t="s">
        <v>714</v>
      </c>
      <c r="CY68" s="40" t="s">
        <v>745</v>
      </c>
      <c r="CZ68" s="41" t="s">
        <v>354</v>
      </c>
      <c r="DA68" s="40" t="s">
        <v>755</v>
      </c>
      <c r="DB68" s="34" t="str">
        <f t="shared" si="2"/>
        <v>101</v>
      </c>
      <c r="DC68" s="102">
        <v>101017</v>
      </c>
      <c r="DD68" s="96"/>
      <c r="DE68" s="87"/>
      <c r="DF68" s="64"/>
      <c r="DG68" s="64"/>
      <c r="DH68" s="967" t="s">
        <v>3809</v>
      </c>
      <c r="DI68" s="436" t="s">
        <v>2171</v>
      </c>
      <c r="DJ68" s="626"/>
      <c r="DK68" s="75" t="str">
        <f t="shared" si="14"/>
        <v>93201PW3</v>
      </c>
      <c r="DL68" s="78" t="s">
        <v>2063</v>
      </c>
      <c r="DM68" s="78" t="s">
        <v>2182</v>
      </c>
      <c r="DN68" s="627" t="str">
        <f>"5"</f>
        <v>5</v>
      </c>
      <c r="DO68" s="30"/>
      <c r="DP68" s="30"/>
      <c r="DQ68" s="367"/>
      <c r="DR68" s="367"/>
      <c r="DS68" s="367"/>
      <c r="DT68" s="367"/>
      <c r="DU68" s="367"/>
      <c r="DV68" s="27"/>
      <c r="DX68" s="85"/>
      <c r="DY68" s="85"/>
    </row>
    <row r="69" spans="1:129" ht="19.5" hidden="1" customHeight="1" thickBot="1">
      <c r="A69" s="354" t="s">
        <v>3653</v>
      </c>
      <c r="B69" s="181"/>
      <c r="C69" s="2058"/>
      <c r="D69" s="2059"/>
      <c r="E69" s="2059"/>
      <c r="F69" s="2059"/>
      <c r="G69" s="2059"/>
      <c r="H69" s="2059"/>
      <c r="I69" s="2060"/>
      <c r="J69" s="668"/>
      <c r="K69" s="669"/>
      <c r="L69" s="2896"/>
      <c r="M69" s="2896"/>
      <c r="N69" s="2897"/>
      <c r="O69" s="2085"/>
      <c r="P69" s="2085"/>
      <c r="Q69" s="2067"/>
      <c r="R69" s="2068"/>
      <c r="S69" s="2068"/>
      <c r="T69" s="2069"/>
      <c r="U69" s="2067"/>
      <c r="V69" s="2068"/>
      <c r="W69" s="2068"/>
      <c r="X69" s="2069"/>
      <c r="Y69" s="2064"/>
      <c r="Z69" s="2065"/>
      <c r="AA69" s="2065"/>
      <c r="AB69" s="2066"/>
      <c r="AC69" s="2064"/>
      <c r="AD69" s="2065"/>
      <c r="AE69" s="2065"/>
      <c r="AF69" s="2066"/>
      <c r="AG69" s="2067"/>
      <c r="AH69" s="2068"/>
      <c r="AI69" s="2068"/>
      <c r="AJ69" s="2069"/>
      <c r="AK69" s="858"/>
      <c r="AL69" s="859"/>
      <c r="AM69" s="860"/>
      <c r="AN69" s="860"/>
      <c r="AO69" s="860"/>
      <c r="AP69" s="860"/>
      <c r="AQ69" s="860"/>
      <c r="AR69" s="860"/>
      <c r="AS69" s="860"/>
      <c r="AT69" s="861"/>
      <c r="AU69" s="171"/>
      <c r="AV69" s="151" t="str">
        <f>LEFT(AA68,4)</f>
        <v>0000</v>
      </c>
      <c r="AW69" s="20" t="str">
        <f>MID(AA68,6,LEN(AA68)-5)</f>
        <v>選択してください</v>
      </c>
      <c r="AY69" s="253"/>
      <c r="AZ69" s="253"/>
      <c r="BA69" s="10"/>
      <c r="BB69" s="10"/>
      <c r="BC69" s="82"/>
      <c r="BD69" s="10"/>
      <c r="BE69" s="10"/>
      <c r="BF69" s="680"/>
      <c r="BG69" s="368"/>
      <c r="BH69" s="681"/>
      <c r="BI69" s="368"/>
      <c r="BJ69" s="368"/>
      <c r="BK69" s="10"/>
      <c r="BL69" s="682"/>
      <c r="BM69" s="682"/>
      <c r="BN69" s="683"/>
      <c r="BO69" s="683"/>
      <c r="BP69" s="682"/>
      <c r="BR69" s="10"/>
      <c r="BT69" s="4"/>
      <c r="BU69" s="4"/>
      <c r="BV69" s="4"/>
      <c r="BW69" s="4"/>
      <c r="BZ69" s="369" t="s">
        <v>1337</v>
      </c>
      <c r="CA69" s="369" t="str">
        <f t="shared" ref="CA69:CA84" si="19">TEXT(BZ69,"0000000")</f>
        <v>1611516</v>
      </c>
      <c r="CB69" s="243" t="s">
        <v>1385</v>
      </c>
      <c r="CC69" s="256"/>
      <c r="CD69" s="108">
        <v>6312</v>
      </c>
      <c r="CE69" s="108" t="s">
        <v>5747</v>
      </c>
      <c r="CF69" s="108">
        <v>6312</v>
      </c>
      <c r="CG69" s="27"/>
      <c r="CH69" s="49" t="s">
        <v>447</v>
      </c>
      <c r="CI69" s="49" t="s">
        <v>22</v>
      </c>
      <c r="CJ69" s="49">
        <v>30</v>
      </c>
      <c r="CK69" s="49" t="s">
        <v>362</v>
      </c>
      <c r="CL69" s="49" t="s">
        <v>83</v>
      </c>
      <c r="CM69" s="49"/>
      <c r="CN69" s="49" t="s">
        <v>603</v>
      </c>
      <c r="CO69" s="50" t="s">
        <v>183</v>
      </c>
      <c r="CP69" s="51" t="str">
        <f>ASC(記入シート1!AB92)</f>
        <v/>
      </c>
      <c r="CQ69" s="2"/>
      <c r="CR69" s="45"/>
      <c r="CS69" s="45"/>
      <c r="CT69" s="45"/>
      <c r="CU69" s="45"/>
      <c r="CV69" s="10"/>
      <c r="CW69" s="34" t="s">
        <v>730</v>
      </c>
      <c r="CX69" s="34" t="s">
        <v>758</v>
      </c>
      <c r="CY69" s="40" t="s">
        <v>736</v>
      </c>
      <c r="CZ69" s="41" t="s">
        <v>349</v>
      </c>
      <c r="DA69" s="40" t="s">
        <v>713</v>
      </c>
      <c r="DB69" s="34" t="str">
        <f t="shared" si="2"/>
        <v>101</v>
      </c>
      <c r="DC69" s="81" t="s">
        <v>143</v>
      </c>
      <c r="DD69" s="96"/>
      <c r="DE69" s="87"/>
      <c r="DF69" s="64"/>
      <c r="DG69" s="64"/>
      <c r="DH69" s="967" t="s">
        <v>3809</v>
      </c>
      <c r="DI69" s="436" t="s">
        <v>3245</v>
      </c>
      <c r="DJ69" s="626"/>
      <c r="DK69" s="75" t="str">
        <f t="shared" si="14"/>
        <v>93201PW4</v>
      </c>
      <c r="DL69" s="78" t="s">
        <v>2063</v>
      </c>
      <c r="DM69" s="78" t="s">
        <v>3265</v>
      </c>
      <c r="DN69" s="627" t="str">
        <f>T(記入シート1!I31)</f>
        <v/>
      </c>
      <c r="DO69" s="30"/>
      <c r="DP69" s="30"/>
      <c r="DQ69" s="367"/>
      <c r="DR69" s="367"/>
      <c r="DS69" s="367"/>
      <c r="DT69" s="367"/>
      <c r="DU69" s="367"/>
      <c r="DV69" s="27"/>
      <c r="DX69" s="85"/>
      <c r="DY69" s="85"/>
    </row>
    <row r="70" spans="1:129" ht="19.5" hidden="1" customHeight="1" thickTop="1" thickBot="1">
      <c r="A70" s="354" t="s">
        <v>3653</v>
      </c>
      <c r="B70" s="181"/>
      <c r="C70" s="2061"/>
      <c r="D70" s="2062"/>
      <c r="E70" s="2062"/>
      <c r="F70" s="2062"/>
      <c r="G70" s="2062"/>
      <c r="H70" s="2062"/>
      <c r="I70" s="2063"/>
      <c r="J70" s="130"/>
      <c r="K70" s="130"/>
      <c r="L70" s="2073"/>
      <c r="M70" s="2074"/>
      <c r="N70" s="2075"/>
      <c r="O70" s="2076"/>
      <c r="P70" s="2076"/>
      <c r="Q70" s="2077"/>
      <c r="R70" s="2078"/>
      <c r="S70" s="2078"/>
      <c r="T70" s="2079"/>
      <c r="U70" s="2077"/>
      <c r="V70" s="2078"/>
      <c r="W70" s="2078"/>
      <c r="X70" s="2079"/>
      <c r="Y70" s="2080"/>
      <c r="Z70" s="2081"/>
      <c r="AA70" s="2081"/>
      <c r="AB70" s="2082"/>
      <c r="AC70" s="2080"/>
      <c r="AD70" s="2081"/>
      <c r="AE70" s="2081"/>
      <c r="AF70" s="2082"/>
      <c r="AG70" s="2077"/>
      <c r="AH70" s="2078"/>
      <c r="AI70" s="2078"/>
      <c r="AJ70" s="2079"/>
      <c r="AK70" s="2086"/>
      <c r="AL70" s="2087"/>
      <c r="AM70" s="2087"/>
      <c r="AN70" s="2087"/>
      <c r="AO70" s="2087"/>
      <c r="AP70" s="2087"/>
      <c r="AQ70" s="2087"/>
      <c r="AR70" s="2087"/>
      <c r="AS70" s="2087"/>
      <c r="AT70" s="2088"/>
      <c r="AU70" s="171"/>
      <c r="AW70" s="253"/>
      <c r="AX70" s="253"/>
      <c r="AY70" s="253"/>
      <c r="AZ70" s="253"/>
      <c r="BA70" s="10"/>
      <c r="BB70" s="82"/>
      <c r="BC70" s="82"/>
      <c r="BD70" s="10"/>
      <c r="BE70" s="10"/>
      <c r="BF70" s="680"/>
      <c r="BG70" s="368"/>
      <c r="BH70" s="681"/>
      <c r="BI70" s="368"/>
      <c r="BJ70" s="368"/>
      <c r="BK70" s="10"/>
      <c r="BL70" s="682"/>
      <c r="BM70" s="682"/>
      <c r="BN70" s="683"/>
      <c r="BO70" s="683"/>
      <c r="BP70" s="682"/>
      <c r="BR70" s="10"/>
      <c r="BT70" s="4"/>
      <c r="BU70" s="4"/>
      <c r="BV70" s="4"/>
      <c r="BW70" s="4"/>
      <c r="BZ70" s="369" t="s">
        <v>1338</v>
      </c>
      <c r="CA70" s="369" t="str">
        <f t="shared" si="19"/>
        <v>1611517</v>
      </c>
      <c r="CB70" s="243" t="s">
        <v>1386</v>
      </c>
      <c r="CC70" s="256"/>
      <c r="CD70" s="108">
        <v>6320</v>
      </c>
      <c r="CE70" s="108" t="s">
        <v>5748</v>
      </c>
      <c r="CF70" s="108">
        <v>6320</v>
      </c>
      <c r="CG70" s="27"/>
      <c r="CH70" s="49" t="s">
        <v>448</v>
      </c>
      <c r="CI70" s="49" t="s">
        <v>63</v>
      </c>
      <c r="CJ70" s="49">
        <v>8</v>
      </c>
      <c r="CK70" s="49" t="s">
        <v>362</v>
      </c>
      <c r="CL70" s="49" t="s">
        <v>83</v>
      </c>
      <c r="CM70" s="49"/>
      <c r="CN70" s="49" t="s">
        <v>603</v>
      </c>
      <c r="CO70" s="50" t="s">
        <v>180</v>
      </c>
      <c r="CP70" s="51" t="str">
        <f>IF(CP68="","",IF(記入シート1!AN92="","",RIGHT("0000"&amp;記入シート1!AN92,4)&amp;RIGHT("00"&amp;記入シート1!AQ92,2)&amp;RIGHT("00"&amp;記入シート1!AS92,2)))</f>
        <v/>
      </c>
      <c r="CQ70" s="2"/>
      <c r="CR70" s="45"/>
      <c r="CS70" s="45"/>
      <c r="CT70" s="45"/>
      <c r="CU70" s="45"/>
      <c r="CV70" s="10"/>
      <c r="CW70" s="34" t="s">
        <v>54</v>
      </c>
      <c r="CX70" s="34" t="s">
        <v>90</v>
      </c>
      <c r="CY70" s="40" t="s">
        <v>746</v>
      </c>
      <c r="CZ70" s="41" t="s">
        <v>343</v>
      </c>
      <c r="DA70" s="40" t="s">
        <v>466</v>
      </c>
      <c r="DB70" s="34" t="str">
        <f t="shared" ref="DB70:DB80" si="20">LEFT(DC70,3)</f>
        <v>101</v>
      </c>
      <c r="DC70" s="81" t="s">
        <v>141</v>
      </c>
      <c r="DD70" s="96"/>
      <c r="DE70" s="87"/>
      <c r="DF70" s="64"/>
      <c r="DG70" s="64"/>
      <c r="DH70" s="967" t="s">
        <v>3809</v>
      </c>
      <c r="DI70" s="436" t="s">
        <v>3246</v>
      </c>
      <c r="DJ70" s="626"/>
      <c r="DK70" s="75" t="str">
        <f t="shared" si="14"/>
        <v>93201PW5</v>
      </c>
      <c r="DL70" s="78" t="s">
        <v>2063</v>
      </c>
      <c r="DM70" s="78" t="s">
        <v>3266</v>
      </c>
      <c r="DN70" s="627" t="str">
        <f>T(記入シート1!AB64)</f>
        <v/>
      </c>
      <c r="DO70" s="30"/>
      <c r="DP70" s="30"/>
      <c r="DQ70" s="367"/>
      <c r="DR70" s="367"/>
      <c r="DS70" s="367"/>
      <c r="DT70" s="367"/>
      <c r="DU70" s="367"/>
      <c r="DV70" s="27"/>
      <c r="DX70" s="85"/>
      <c r="DY70" s="85"/>
    </row>
    <row r="71" spans="1:129" ht="19.5" customHeight="1" thickTop="1" thickBot="1">
      <c r="A71" s="354"/>
      <c r="B71" s="181"/>
      <c r="C71" s="2163" t="s">
        <v>3762</v>
      </c>
      <c r="D71" s="2164"/>
      <c r="E71" s="2164"/>
      <c r="F71" s="2164"/>
      <c r="G71" s="2164"/>
      <c r="H71" s="2164"/>
      <c r="I71" s="2165"/>
      <c r="J71" s="378"/>
      <c r="K71" s="378"/>
      <c r="L71" s="2033" t="s">
        <v>642</v>
      </c>
      <c r="M71" s="2034"/>
      <c r="N71" s="2035"/>
      <c r="O71" s="2752" t="s">
        <v>1071</v>
      </c>
      <c r="P71" s="2752"/>
      <c r="Q71" s="2758">
        <v>0</v>
      </c>
      <c r="R71" s="2758"/>
      <c r="S71" s="2758"/>
      <c r="T71" s="2758"/>
      <c r="U71" s="2758">
        <v>0</v>
      </c>
      <c r="V71" s="2758"/>
      <c r="W71" s="2758"/>
      <c r="X71" s="2758"/>
      <c r="Y71" s="2053">
        <v>3.5400000000000001E-2</v>
      </c>
      <c r="Z71" s="2053"/>
      <c r="AA71" s="2053"/>
      <c r="AB71" s="2053"/>
      <c r="AC71" s="2053">
        <v>0</v>
      </c>
      <c r="AD71" s="2053"/>
      <c r="AE71" s="2053"/>
      <c r="AF71" s="2053"/>
      <c r="AG71" s="2054">
        <v>0</v>
      </c>
      <c r="AH71" s="2054"/>
      <c r="AI71" s="2054"/>
      <c r="AJ71" s="2054"/>
      <c r="AK71" s="603"/>
      <c r="AL71" s="603"/>
      <c r="AM71" s="603"/>
      <c r="AN71" s="603"/>
      <c r="AO71" s="603"/>
      <c r="AP71" s="603"/>
      <c r="AQ71" s="603"/>
      <c r="AR71" s="603"/>
      <c r="AS71" s="603"/>
      <c r="AT71" s="865"/>
      <c r="AU71" s="171"/>
      <c r="AV71" s="151" t="b">
        <v>0</v>
      </c>
      <c r="AW71" s="387">
        <f>IF(AV71=TRUE,AV71*1,0)</f>
        <v>0</v>
      </c>
      <c r="AX71" s="387" t="s">
        <v>3771</v>
      </c>
      <c r="AY71" s="92" t="str">
        <f>TEXT(BR71,"000")</f>
        <v>940</v>
      </c>
      <c r="AZ71" s="92">
        <f>AW71</f>
        <v>0</v>
      </c>
      <c r="BA71" s="83" t="str">
        <f>IF(O71="2回入金","92",IF(O71="1回入金","91",""))</f>
        <v>92</v>
      </c>
      <c r="BB71" s="106" t="s">
        <v>995</v>
      </c>
      <c r="BC71" s="84" t="s">
        <v>2109</v>
      </c>
      <c r="BD71" s="83">
        <f>ROW(C71)</f>
        <v>71</v>
      </c>
      <c r="BE71" s="83">
        <f>IF(AY71&amp;BC71=AY70&amp;BC70,BE70+1,1)</f>
        <v>1</v>
      </c>
      <c r="BF71" s="610" t="str">
        <f>AY71&amp;BC71&amp;BE71</f>
        <v>940000001</v>
      </c>
      <c r="BG71" s="534"/>
      <c r="BH71" s="615"/>
      <c r="BI71" s="534" t="str">
        <f>BR71&amp;"01"</f>
        <v>94001</v>
      </c>
      <c r="BJ71" s="534">
        <f>IF(L71=$BC$2,1,0)</f>
        <v>1</v>
      </c>
      <c r="BK71" s="83">
        <f>AZ71</f>
        <v>0</v>
      </c>
      <c r="BL71" s="613" t="str">
        <f>IF(AW71=1,Q71,"")</f>
        <v/>
      </c>
      <c r="BM71" s="613" t="str">
        <f>IF(AW71=1,U71,"")</f>
        <v/>
      </c>
      <c r="BN71" s="614" t="str">
        <f>IF(AW71=0,"",Y71)</f>
        <v/>
      </c>
      <c r="BO71" s="614" t="str">
        <f>IF(AW71=0,"",AC71)</f>
        <v/>
      </c>
      <c r="BP71" s="613" t="str">
        <f>IF(AW71=0,"",AG71)</f>
        <v/>
      </c>
      <c r="BR71" s="17">
        <v>940</v>
      </c>
      <c r="BT71" s="4"/>
      <c r="BU71" s="4"/>
      <c r="BV71" s="4"/>
      <c r="BW71" s="4"/>
      <c r="BZ71" s="369" t="s">
        <v>1339</v>
      </c>
      <c r="CA71" s="369" t="str">
        <f t="shared" si="19"/>
        <v>1611518</v>
      </c>
      <c r="CB71" s="243" t="s">
        <v>1387</v>
      </c>
      <c r="CC71" s="256"/>
      <c r="CD71" s="108">
        <v>6321</v>
      </c>
      <c r="CE71" s="108" t="s">
        <v>5749</v>
      </c>
      <c r="CF71" s="108">
        <v>6321</v>
      </c>
      <c r="CG71" s="27"/>
      <c r="CH71" s="49" t="s">
        <v>886</v>
      </c>
      <c r="CI71" s="49" t="s">
        <v>21</v>
      </c>
      <c r="CJ71" s="49">
        <v>60</v>
      </c>
      <c r="CK71" s="49" t="s">
        <v>216</v>
      </c>
      <c r="CL71" s="49" t="s">
        <v>90</v>
      </c>
      <c r="CM71" s="49"/>
      <c r="CN71" s="49"/>
      <c r="CO71" s="50" t="s">
        <v>887</v>
      </c>
      <c r="CP71" s="51" t="str">
        <f>記入シート1!BD80</f>
        <v>：～：  休業日（）</v>
      </c>
      <c r="CQ71" s="2"/>
      <c r="CR71" s="45"/>
      <c r="CS71" s="45"/>
      <c r="CT71" s="45"/>
      <c r="CU71" s="45"/>
      <c r="CV71" s="10"/>
      <c r="CW71" s="34" t="s">
        <v>731</v>
      </c>
      <c r="CX71" s="34"/>
      <c r="CY71" s="40"/>
      <c r="CZ71" s="41"/>
      <c r="DA71" s="40"/>
      <c r="DB71" s="34" t="str">
        <f t="shared" si="20"/>
        <v>101</v>
      </c>
      <c r="DC71" s="81" t="s">
        <v>139</v>
      </c>
      <c r="DD71" s="96"/>
      <c r="DE71" s="87"/>
      <c r="DF71" s="64"/>
      <c r="DG71" s="64"/>
      <c r="DH71" s="967" t="s">
        <v>3809</v>
      </c>
      <c r="DI71" s="436" t="s">
        <v>3247</v>
      </c>
      <c r="DJ71" s="626"/>
      <c r="DK71" s="75" t="str">
        <f t="shared" si="14"/>
        <v>93201PW6</v>
      </c>
      <c r="DL71" s="78" t="s">
        <v>2063</v>
      </c>
      <c r="DM71" s="78" t="s">
        <v>3267</v>
      </c>
      <c r="DN71" s="627" t="str">
        <f>T(記入シート1!AB67)</f>
        <v/>
      </c>
      <c r="DO71" s="30"/>
      <c r="DP71" s="30"/>
      <c r="DQ71" s="367"/>
      <c r="DR71" s="367"/>
      <c r="DS71" s="367"/>
      <c r="DT71" s="367"/>
      <c r="DU71" s="367"/>
      <c r="DV71" s="27"/>
      <c r="DX71" s="85"/>
      <c r="DY71" s="85"/>
    </row>
    <row r="72" spans="1:129" ht="19.5" customHeight="1" thickTop="1" thickBot="1">
      <c r="A72" s="354"/>
      <c r="B72" s="181"/>
      <c r="C72" s="2061"/>
      <c r="D72" s="2062"/>
      <c r="E72" s="2062"/>
      <c r="F72" s="2062"/>
      <c r="G72" s="2062"/>
      <c r="H72" s="2062"/>
      <c r="I72" s="2063"/>
      <c r="J72" s="2152" t="s">
        <v>3763</v>
      </c>
      <c r="K72" s="2153"/>
      <c r="L72" s="2153"/>
      <c r="M72" s="2153"/>
      <c r="N72" s="2154"/>
      <c r="O72" s="2465" t="s">
        <v>3676</v>
      </c>
      <c r="P72" s="2466"/>
      <c r="Q72" s="2466"/>
      <c r="R72" s="2466"/>
      <c r="S72" s="2466"/>
      <c r="T72" s="2466"/>
      <c r="U72" s="2466"/>
      <c r="V72" s="2466"/>
      <c r="W72" s="2466"/>
      <c r="X72" s="2466"/>
      <c r="Y72" s="2494" t="s">
        <v>3764</v>
      </c>
      <c r="Z72" s="2495"/>
      <c r="AA72" s="2495"/>
      <c r="AB72" s="2496"/>
      <c r="AC72" s="820"/>
      <c r="AD72" s="2495" t="s">
        <v>3765</v>
      </c>
      <c r="AE72" s="2495"/>
      <c r="AF72" s="2495"/>
      <c r="AG72" s="820"/>
      <c r="AH72" s="820"/>
      <c r="AI72" s="2495" t="s">
        <v>3766</v>
      </c>
      <c r="AJ72" s="2495"/>
      <c r="AK72" s="2495"/>
      <c r="AL72" s="2495"/>
      <c r="AM72" s="2495"/>
      <c r="AN72" s="730"/>
      <c r="AO72" s="730"/>
      <c r="AP72" s="2497" t="s">
        <v>3767</v>
      </c>
      <c r="AQ72" s="2497"/>
      <c r="AR72" s="730"/>
      <c r="AS72" s="730"/>
      <c r="AT72" s="609"/>
      <c r="AU72" s="171"/>
      <c r="AV72" s="508" t="str">
        <f>LEFT(O72,2)</f>
        <v>15</v>
      </c>
      <c r="AW72" s="536">
        <v>0</v>
      </c>
      <c r="AX72" s="536"/>
      <c r="AY72" s="684" t="str">
        <f>IF(AND(AV71=TRUE,OR(AV72="00",AV72="",AW72=0)),"NG","OK")</f>
        <v>OK</v>
      </c>
      <c r="AZ72" s="684" t="s">
        <v>3792</v>
      </c>
      <c r="BA72" s="673"/>
      <c r="BB72" s="673"/>
      <c r="BC72" s="673"/>
      <c r="BD72" s="673"/>
      <c r="BE72" s="673"/>
      <c r="BF72" s="675"/>
      <c r="BG72" s="676"/>
      <c r="BH72" s="677"/>
      <c r="BI72" s="676"/>
      <c r="BJ72" s="676"/>
      <c r="BK72" s="673"/>
      <c r="BL72" s="678"/>
      <c r="BM72" s="678"/>
      <c r="BN72" s="679"/>
      <c r="BO72" s="679"/>
      <c r="BP72" s="678"/>
      <c r="BR72" s="673"/>
      <c r="BT72" s="4"/>
      <c r="BU72" s="4"/>
      <c r="BV72" s="4"/>
      <c r="BW72" s="4"/>
      <c r="BZ72" s="369" t="s">
        <v>1340</v>
      </c>
      <c r="CA72" s="369" t="str">
        <f t="shared" si="19"/>
        <v>1611519</v>
      </c>
      <c r="CB72" s="243" t="s">
        <v>1388</v>
      </c>
      <c r="CC72" s="256"/>
      <c r="CD72" s="108">
        <v>6322</v>
      </c>
      <c r="CE72" s="108" t="s">
        <v>5750</v>
      </c>
      <c r="CF72" s="108">
        <v>6322</v>
      </c>
      <c r="CG72" s="27"/>
      <c r="CH72" s="59" t="s">
        <v>608</v>
      </c>
      <c r="CI72" s="59"/>
      <c r="CJ72" s="59"/>
      <c r="CK72" s="59"/>
      <c r="CL72" s="59"/>
      <c r="CM72" s="59"/>
      <c r="CN72" s="59"/>
      <c r="CO72" s="10"/>
      <c r="CP72" s="10"/>
      <c r="CQ72" s="2"/>
      <c r="CR72" s="45"/>
      <c r="CS72" s="45"/>
      <c r="CT72" s="45"/>
      <c r="CU72" s="45"/>
      <c r="CV72" s="10"/>
      <c r="CW72" s="34" t="s">
        <v>136</v>
      </c>
      <c r="CX72" s="34" t="s">
        <v>698</v>
      </c>
      <c r="CY72" s="40" t="s">
        <v>736</v>
      </c>
      <c r="CZ72" s="41" t="s">
        <v>343</v>
      </c>
      <c r="DA72" s="40"/>
      <c r="DB72" s="34" t="str">
        <f t="shared" si="20"/>
        <v>101</v>
      </c>
      <c r="DC72" s="81" t="s">
        <v>137</v>
      </c>
      <c r="DD72" s="96"/>
      <c r="DE72" s="87"/>
      <c r="DF72" s="64"/>
      <c r="DG72" s="64"/>
      <c r="DH72" s="967" t="s">
        <v>3809</v>
      </c>
      <c r="DI72" s="436" t="s">
        <v>3251</v>
      </c>
      <c r="DJ72" s="626"/>
      <c r="DK72" s="75" t="str">
        <f t="shared" si="14"/>
        <v>93201PW7</v>
      </c>
      <c r="DL72" s="78" t="s">
        <v>2063</v>
      </c>
      <c r="DM72" s="78" t="s">
        <v>3268</v>
      </c>
      <c r="DN72" s="692" t="str">
        <f>""</f>
        <v/>
      </c>
      <c r="DO72" s="30"/>
      <c r="DP72" s="30"/>
      <c r="DQ72" s="367"/>
      <c r="DR72" s="367"/>
      <c r="DS72" s="367"/>
      <c r="DT72" s="367"/>
      <c r="DU72" s="367"/>
      <c r="DV72" s="27"/>
      <c r="DX72" s="85"/>
      <c r="DY72" s="85"/>
    </row>
    <row r="73" spans="1:129" ht="19.5" hidden="1" customHeight="1">
      <c r="A73" s="354" t="s">
        <v>3653</v>
      </c>
      <c r="B73" s="181"/>
      <c r="C73" s="843"/>
      <c r="D73" s="844"/>
      <c r="E73" s="844"/>
      <c r="F73" s="844"/>
      <c r="G73" s="844"/>
      <c r="H73" s="844"/>
      <c r="I73" s="845"/>
      <c r="J73" s="809"/>
      <c r="K73" s="810"/>
      <c r="L73" s="810"/>
      <c r="M73" s="810"/>
      <c r="N73" s="811"/>
      <c r="O73" s="812"/>
      <c r="P73" s="813"/>
      <c r="Q73" s="813"/>
      <c r="R73" s="813"/>
      <c r="S73" s="812"/>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c r="AT73" s="814"/>
      <c r="AU73" s="686"/>
      <c r="AV73" s="386"/>
      <c r="BA73" s="10"/>
      <c r="BB73" s="10"/>
      <c r="BC73" s="10"/>
      <c r="BD73" s="10"/>
      <c r="BE73" s="10"/>
      <c r="BF73" s="10"/>
      <c r="BG73" s="10"/>
      <c r="BH73" s="10"/>
      <c r="BI73" s="10"/>
      <c r="BJ73" s="10"/>
      <c r="BK73" s="10"/>
      <c r="BL73" s="682"/>
      <c r="BM73" s="682"/>
      <c r="BN73" s="10"/>
      <c r="BO73" s="10"/>
      <c r="BP73" s="10"/>
      <c r="BQ73" s="10"/>
      <c r="BR73" s="10"/>
      <c r="BT73" s="4"/>
      <c r="BU73" s="4"/>
      <c r="BV73" s="4"/>
      <c r="BW73" s="4"/>
      <c r="BZ73" s="369" t="s">
        <v>1341</v>
      </c>
      <c r="CA73" s="369" t="str">
        <f t="shared" si="19"/>
        <v>1611520</v>
      </c>
      <c r="CB73" s="243" t="s">
        <v>1389</v>
      </c>
      <c r="CC73" s="256"/>
      <c r="CD73" s="108">
        <v>6012</v>
      </c>
      <c r="CE73" s="108" t="s">
        <v>5751</v>
      </c>
      <c r="CF73" s="108">
        <v>6012</v>
      </c>
      <c r="CG73" s="27"/>
      <c r="CH73" s="46" t="s">
        <v>323</v>
      </c>
      <c r="CI73" s="47" t="s">
        <v>322</v>
      </c>
      <c r="CJ73" s="47" t="s">
        <v>321</v>
      </c>
      <c r="CK73" s="46" t="s">
        <v>320</v>
      </c>
      <c r="CL73" s="46" t="s">
        <v>320</v>
      </c>
      <c r="CM73" s="46" t="s">
        <v>319</v>
      </c>
      <c r="CN73" s="46"/>
      <c r="CO73" s="46" t="s">
        <v>376</v>
      </c>
      <c r="CP73" s="46" t="s">
        <v>377</v>
      </c>
      <c r="CQ73" s="2"/>
      <c r="CR73" s="45"/>
      <c r="CS73" s="45"/>
      <c r="CT73" s="45"/>
      <c r="CU73" s="45"/>
      <c r="CV73" s="10"/>
      <c r="CW73" s="34" t="s">
        <v>732</v>
      </c>
      <c r="CX73" s="34"/>
      <c r="CY73" s="40"/>
      <c r="CZ73" s="41"/>
      <c r="DA73" s="40"/>
      <c r="DB73" s="34" t="str">
        <f t="shared" si="20"/>
        <v>101</v>
      </c>
      <c r="DC73" s="81" t="s">
        <v>134</v>
      </c>
      <c r="DD73" s="96"/>
      <c r="DE73" s="87"/>
      <c r="DF73" s="64"/>
      <c r="DG73" s="64"/>
      <c r="DH73" s="967" t="s">
        <v>3809</v>
      </c>
      <c r="DI73" s="436" t="s">
        <v>3264</v>
      </c>
      <c r="DJ73" s="626"/>
      <c r="DK73" s="75" t="str">
        <f t="shared" si="14"/>
        <v>93201PW8</v>
      </c>
      <c r="DL73" s="78" t="s">
        <v>2063</v>
      </c>
      <c r="DM73" s="78" t="s">
        <v>3269</v>
      </c>
      <c r="DN73" s="692" t="str">
        <f>""</f>
        <v/>
      </c>
      <c r="DO73" s="30"/>
      <c r="DP73" s="30"/>
      <c r="DQ73" s="367"/>
      <c r="DR73" s="367"/>
      <c r="DS73" s="367"/>
      <c r="DT73" s="367"/>
      <c r="DU73" s="367"/>
      <c r="DV73" s="27"/>
      <c r="DX73" s="85"/>
      <c r="DY73" s="85"/>
    </row>
    <row r="74" spans="1:129" ht="19.5" hidden="1" customHeight="1" thickBot="1">
      <c r="A74" s="354" t="s">
        <v>3653</v>
      </c>
      <c r="B74" s="181"/>
      <c r="C74" s="846"/>
      <c r="D74" s="847"/>
      <c r="E74" s="847"/>
      <c r="F74" s="847"/>
      <c r="G74" s="847"/>
      <c r="H74" s="847"/>
      <c r="I74" s="848"/>
      <c r="J74" s="325"/>
      <c r="K74" s="326"/>
      <c r="L74" s="815"/>
      <c r="M74" s="815"/>
      <c r="N74" s="816"/>
      <c r="O74" s="685"/>
      <c r="P74" s="817"/>
      <c r="Q74" s="817"/>
      <c r="R74" s="817"/>
      <c r="S74" s="818"/>
      <c r="T74" s="817"/>
      <c r="U74" s="817"/>
      <c r="V74" s="817"/>
      <c r="W74" s="817"/>
      <c r="X74" s="817"/>
      <c r="Y74" s="817"/>
      <c r="Z74" s="817"/>
      <c r="AA74" s="817"/>
      <c r="AB74" s="817"/>
      <c r="AC74" s="817"/>
      <c r="AD74" s="817"/>
      <c r="AE74" s="817"/>
      <c r="AF74" s="817"/>
      <c r="AG74" s="817"/>
      <c r="AH74" s="817"/>
      <c r="AI74" s="817"/>
      <c r="AJ74" s="817"/>
      <c r="AK74" s="817"/>
      <c r="AL74" s="817"/>
      <c r="AM74" s="817"/>
      <c r="AN74" s="817"/>
      <c r="AO74" s="817"/>
      <c r="AP74" s="817"/>
      <c r="AQ74" s="817"/>
      <c r="AR74" s="817"/>
      <c r="AS74" s="817"/>
      <c r="AT74" s="819"/>
      <c r="AU74" s="686"/>
      <c r="AV74" s="386"/>
      <c r="AW74" s="670"/>
      <c r="AX74" s="670"/>
      <c r="AY74" s="670"/>
      <c r="AZ74" s="670"/>
      <c r="BA74" s="671"/>
      <c r="BB74" s="671"/>
      <c r="BC74" s="671"/>
      <c r="BD74" s="671"/>
      <c r="BE74" s="671"/>
      <c r="BF74" s="671"/>
      <c r="BG74" s="671"/>
      <c r="BH74" s="671"/>
      <c r="BI74" s="671"/>
      <c r="BJ74" s="671"/>
      <c r="BK74" s="671"/>
      <c r="BL74" s="672"/>
      <c r="BM74" s="672"/>
      <c r="BN74" s="671"/>
      <c r="BO74" s="671"/>
      <c r="BP74" s="671"/>
      <c r="BQ74" s="10"/>
      <c r="BR74" s="671"/>
      <c r="BT74" s="4"/>
      <c r="BU74" s="4"/>
      <c r="BV74" s="4"/>
      <c r="BW74" s="4"/>
      <c r="BZ74" s="369" t="s">
        <v>1342</v>
      </c>
      <c r="CA74" s="369" t="str">
        <f t="shared" si="19"/>
        <v>1611521</v>
      </c>
      <c r="CB74" s="243" t="s">
        <v>1390</v>
      </c>
      <c r="CD74" s="108">
        <v>6336</v>
      </c>
      <c r="CE74" s="108" t="s">
        <v>5753</v>
      </c>
      <c r="CF74" s="108">
        <v>6336</v>
      </c>
      <c r="CG74" s="27"/>
      <c r="CH74" s="49" t="s">
        <v>173</v>
      </c>
      <c r="CI74" s="49" t="s">
        <v>21</v>
      </c>
      <c r="CJ74" s="49">
        <v>30</v>
      </c>
      <c r="CK74" s="49" t="s">
        <v>90</v>
      </c>
      <c r="CL74" s="49" t="s">
        <v>90</v>
      </c>
      <c r="CM74" s="49"/>
      <c r="CN74" s="49"/>
      <c r="CO74" s="50" t="s">
        <v>172</v>
      </c>
      <c r="CP74" s="51" t="str">
        <f>T(記入シート1!I104)</f>
        <v/>
      </c>
      <c r="CQ74" s="2"/>
      <c r="CR74" s="45"/>
      <c r="CS74" s="45"/>
      <c r="CT74" s="45"/>
      <c r="CU74" s="45"/>
      <c r="CV74" s="10"/>
      <c r="CW74" s="34" t="s">
        <v>132</v>
      </c>
      <c r="CX74" s="34" t="s">
        <v>712</v>
      </c>
      <c r="CY74" s="40" t="s">
        <v>747</v>
      </c>
      <c r="CZ74" s="41" t="s">
        <v>342</v>
      </c>
      <c r="DA74" s="40"/>
      <c r="DB74" s="34" t="str">
        <f t="shared" si="20"/>
        <v>101</v>
      </c>
      <c r="DC74" s="81" t="s">
        <v>133</v>
      </c>
      <c r="DD74" s="96"/>
      <c r="DE74" s="87"/>
      <c r="DF74" s="64"/>
      <c r="DG74" s="64"/>
      <c r="DH74" s="967" t="s">
        <v>3809</v>
      </c>
      <c r="DI74" s="436" t="s">
        <v>3270</v>
      </c>
      <c r="DJ74" s="626"/>
      <c r="DK74" s="75" t="str">
        <f t="shared" si="14"/>
        <v>93201PW9</v>
      </c>
      <c r="DL74" s="78" t="s">
        <v>2063</v>
      </c>
      <c r="DM74" s="78" t="s">
        <v>3271</v>
      </c>
      <c r="DN74" s="627" t="str">
        <f>"+81"&amp;MID(SUBSTITUTE(ASC(CP22),"-",""),2,15)</f>
        <v>+81</v>
      </c>
      <c r="DO74" s="30"/>
      <c r="DP74" s="30"/>
      <c r="DQ74" s="367"/>
      <c r="DR74" s="367"/>
      <c r="DS74" s="367"/>
      <c r="DT74" s="367"/>
      <c r="DU74" s="367"/>
      <c r="DV74" s="27"/>
      <c r="DX74" s="85"/>
      <c r="DY74" s="85"/>
    </row>
    <row r="75" spans="1:129" ht="19.5" customHeight="1" thickTop="1" thickBot="1">
      <c r="A75" s="354"/>
      <c r="B75" s="181"/>
      <c r="C75" s="1621" t="s">
        <v>3400</v>
      </c>
      <c r="D75" s="1622"/>
      <c r="E75" s="1622"/>
      <c r="F75" s="1622"/>
      <c r="G75" s="1622"/>
      <c r="H75" s="1622"/>
      <c r="I75" s="2014"/>
      <c r="J75" s="130"/>
      <c r="K75" s="130"/>
      <c r="L75" s="2033" t="s">
        <v>642</v>
      </c>
      <c r="M75" s="2034"/>
      <c r="N75" s="2035"/>
      <c r="O75" s="2468" t="s">
        <v>1071</v>
      </c>
      <c r="P75" s="2468"/>
      <c r="Q75" s="2758">
        <v>0</v>
      </c>
      <c r="R75" s="2758"/>
      <c r="S75" s="2758"/>
      <c r="T75" s="2758"/>
      <c r="U75" s="2758">
        <v>0</v>
      </c>
      <c r="V75" s="2758"/>
      <c r="W75" s="2758"/>
      <c r="X75" s="2758"/>
      <c r="Y75" s="2479">
        <v>3.5400000000000001E-2</v>
      </c>
      <c r="Z75" s="2479"/>
      <c r="AA75" s="2479"/>
      <c r="AB75" s="2479"/>
      <c r="AC75" s="2479">
        <v>0</v>
      </c>
      <c r="AD75" s="2479"/>
      <c r="AE75" s="2479"/>
      <c r="AF75" s="2479"/>
      <c r="AG75" s="2029">
        <v>0</v>
      </c>
      <c r="AH75" s="2029"/>
      <c r="AI75" s="2029"/>
      <c r="AJ75" s="2029"/>
      <c r="AK75" s="706"/>
      <c r="AL75" s="706"/>
      <c r="AM75" s="706"/>
      <c r="AN75" s="706"/>
      <c r="AO75" s="706"/>
      <c r="AP75" s="706"/>
      <c r="AQ75" s="706"/>
      <c r="AR75" s="707" t="s">
        <v>3401</v>
      </c>
      <c r="AS75" s="2463" t="s">
        <v>3356</v>
      </c>
      <c r="AT75" s="2464"/>
      <c r="AU75" s="171"/>
      <c r="AV75" s="386" t="b">
        <v>0</v>
      </c>
      <c r="AW75" s="387">
        <f>IF(AV75=TRUE,AV75*1,0)</f>
        <v>0</v>
      </c>
      <c r="AX75" s="387" t="s">
        <v>3548</v>
      </c>
      <c r="AY75" s="92" t="str">
        <f>TEXT(BR75,"000")</f>
        <v>941</v>
      </c>
      <c r="AZ75" s="92">
        <f>AW75</f>
        <v>0</v>
      </c>
      <c r="BA75" s="83" t="str">
        <f>IF(O75="2回入金","92",IF(O75="1回入金","91",""))</f>
        <v>92</v>
      </c>
      <c r="BB75" s="106" t="s">
        <v>995</v>
      </c>
      <c r="BC75" s="84" t="s">
        <v>2109</v>
      </c>
      <c r="BD75" s="83">
        <f>ROW(C75)</f>
        <v>75</v>
      </c>
      <c r="BE75" s="83">
        <f>IF(AY75&amp;BC75=AY74&amp;BC74,BE74+1,1)</f>
        <v>1</v>
      </c>
      <c r="BF75" s="610" t="str">
        <f>AY75&amp;BC75&amp;BE75</f>
        <v>941000001</v>
      </c>
      <c r="BG75" s="83"/>
      <c r="BH75" s="83"/>
      <c r="BI75" s="534" t="str">
        <f>BR75&amp;"01"</f>
        <v>94101</v>
      </c>
      <c r="BJ75" s="534">
        <f>IF(L75=$BC$2,1,0)</f>
        <v>1</v>
      </c>
      <c r="BK75" s="83">
        <f>AZ75</f>
        <v>0</v>
      </c>
      <c r="BL75" s="613" t="str">
        <f>IF(AW75=1,Q75,"")</f>
        <v/>
      </c>
      <c r="BM75" s="613" t="str">
        <f>IF(AW75=1,U75,"")</f>
        <v/>
      </c>
      <c r="BN75" s="614" t="str">
        <f>IF(AW75=0,"",Y75)</f>
        <v/>
      </c>
      <c r="BO75" s="614" t="str">
        <f>IF(AW75=0,"",AC75)</f>
        <v/>
      </c>
      <c r="BP75" s="613" t="str">
        <f>IF(AW75=0,"",AG75)</f>
        <v/>
      </c>
      <c r="BQ75" s="431"/>
      <c r="BR75" s="83">
        <v>941</v>
      </c>
      <c r="BT75" s="4"/>
      <c r="BU75" s="4"/>
      <c r="BV75" s="4"/>
      <c r="BW75" s="4"/>
      <c r="BZ75" s="369" t="s">
        <v>1343</v>
      </c>
      <c r="CA75" s="369" t="str">
        <f t="shared" si="19"/>
        <v>1612020</v>
      </c>
      <c r="CB75" s="82" t="s">
        <v>1391</v>
      </c>
      <c r="CD75" s="108">
        <v>6323</v>
      </c>
      <c r="CE75" s="108" t="s">
        <v>5759</v>
      </c>
      <c r="CF75" s="108">
        <v>6323</v>
      </c>
      <c r="CG75" s="27"/>
      <c r="CH75" s="49" t="s">
        <v>475</v>
      </c>
      <c r="CI75" s="49" t="s">
        <v>63</v>
      </c>
      <c r="CJ75" s="49">
        <v>1</v>
      </c>
      <c r="CK75" s="49" t="s">
        <v>451</v>
      </c>
      <c r="CL75" s="49" t="s">
        <v>451</v>
      </c>
      <c r="CM75" s="49" t="s">
        <v>476</v>
      </c>
      <c r="CN75" s="49"/>
      <c r="CO75" s="50" t="s">
        <v>169</v>
      </c>
      <c r="CP75" s="51">
        <f>記入シート1!AV104</f>
        <v>0</v>
      </c>
      <c r="CQ75" s="2"/>
      <c r="CR75" s="45"/>
      <c r="CS75" s="45"/>
      <c r="CT75" s="45"/>
      <c r="CU75" s="45"/>
      <c r="CV75" s="10"/>
      <c r="CW75" s="34" t="s">
        <v>129</v>
      </c>
      <c r="CX75" s="34" t="s">
        <v>698</v>
      </c>
      <c r="CY75" s="40"/>
      <c r="CZ75" s="40" t="s">
        <v>359</v>
      </c>
      <c r="DA75" s="40" t="s">
        <v>756</v>
      </c>
      <c r="DB75" s="34" t="str">
        <f t="shared" si="20"/>
        <v>101</v>
      </c>
      <c r="DC75" s="81" t="s">
        <v>130</v>
      </c>
      <c r="DD75" s="96"/>
      <c r="DE75" s="87"/>
      <c r="DF75" s="64"/>
      <c r="DG75" s="64"/>
      <c r="DH75" s="436" t="s">
        <v>938</v>
      </c>
      <c r="DI75" s="436" t="s">
        <v>2172</v>
      </c>
      <c r="DJ75" s="626"/>
      <c r="DK75" s="75" t="str">
        <f t="shared" si="14"/>
        <v>93501PZ4</v>
      </c>
      <c r="DL75" s="78" t="s">
        <v>2183</v>
      </c>
      <c r="DM75" s="78" t="s">
        <v>2184</v>
      </c>
      <c r="DN75" s="627" t="str">
        <f>ASC(記入シート1!AW73)</f>
        <v/>
      </c>
      <c r="DO75" s="30"/>
      <c r="DP75" s="30"/>
      <c r="DQ75" s="367"/>
      <c r="DR75" s="367"/>
      <c r="DS75" s="367"/>
      <c r="DT75" s="367"/>
      <c r="DU75" s="367"/>
      <c r="DV75" s="27"/>
      <c r="DX75" s="85"/>
      <c r="DY75" s="85"/>
    </row>
    <row r="76" spans="1:129" ht="19.5" customHeight="1" thickTop="1" thickBot="1">
      <c r="A76" s="354"/>
      <c r="B76" s="181"/>
      <c r="C76" s="1623"/>
      <c r="D76" s="1624"/>
      <c r="E76" s="1624"/>
      <c r="F76" s="1624"/>
      <c r="G76" s="1624"/>
      <c r="H76" s="1624"/>
      <c r="I76" s="2015"/>
      <c r="J76" s="2469" t="s">
        <v>1028</v>
      </c>
      <c r="K76" s="2470"/>
      <c r="L76" s="2153"/>
      <c r="M76" s="2153"/>
      <c r="N76" s="2154"/>
      <c r="O76" s="2471" t="s">
        <v>3529</v>
      </c>
      <c r="P76" s="2472"/>
      <c r="Q76" s="2472"/>
      <c r="R76" s="2472"/>
      <c r="S76" s="2472"/>
      <c r="T76" s="2472"/>
      <c r="U76" s="2472"/>
      <c r="V76" s="2472"/>
      <c r="W76" s="2472"/>
      <c r="X76" s="2473"/>
      <c r="Y76" s="2474" t="s">
        <v>3403</v>
      </c>
      <c r="Z76" s="2475"/>
      <c r="AA76" s="2476" t="s">
        <v>3429</v>
      </c>
      <c r="AB76" s="2477"/>
      <c r="AC76" s="2477"/>
      <c r="AD76" s="2477"/>
      <c r="AE76" s="2477"/>
      <c r="AF76" s="2477"/>
      <c r="AG76" s="2477"/>
      <c r="AH76" s="2477"/>
      <c r="AI76" s="2477"/>
      <c r="AJ76" s="2477"/>
      <c r="AK76" s="2477"/>
      <c r="AL76" s="2478"/>
      <c r="AM76" s="685"/>
      <c r="AN76" s="685"/>
      <c r="AO76" s="685"/>
      <c r="AP76" s="685"/>
      <c r="AQ76" s="685"/>
      <c r="AR76" s="685"/>
      <c r="AS76" s="685"/>
      <c r="AT76" s="708"/>
      <c r="AU76" s="171"/>
      <c r="AV76" s="386" t="str">
        <f>LEFT(O76,4)</f>
        <v>1800</v>
      </c>
      <c r="AW76" s="536" t="str">
        <f>MID(O76,6,LEN(O76)-5)</f>
        <v>宿泊・娯楽・スポーツ等施設</v>
      </c>
      <c r="AX76" s="684" t="str">
        <f>IF(AV75=TRUE,IF(AND(AV76&lt;&gt;"0000",AV77&lt;&gt;"0000",LEFT(AV76,2)=LEFT(AV77,2),AY77&lt;&gt;0),"OK","NG"),"OK")</f>
        <v>OK</v>
      </c>
      <c r="AY76" s="684" t="s">
        <v>3547</v>
      </c>
      <c r="AZ76" s="709"/>
      <c r="BA76" s="673"/>
      <c r="BB76" s="673"/>
      <c r="BC76" s="673"/>
      <c r="BD76" s="673"/>
      <c r="BE76" s="673"/>
      <c r="BF76" s="673"/>
      <c r="BG76" s="673"/>
      <c r="BH76" s="673"/>
      <c r="BI76" s="673"/>
      <c r="BJ76" s="673"/>
      <c r="BK76" s="673"/>
      <c r="BL76" s="678"/>
      <c r="BM76" s="678"/>
      <c r="BN76" s="673"/>
      <c r="BO76" s="673"/>
      <c r="BP76" s="673"/>
      <c r="BQ76" s="10"/>
      <c r="BR76" s="673"/>
      <c r="BT76" s="4"/>
      <c r="BU76" s="4"/>
      <c r="BV76" s="4"/>
      <c r="BW76" s="4"/>
      <c r="BZ76" s="369" t="s">
        <v>1344</v>
      </c>
      <c r="CA76" s="369" t="str">
        <f t="shared" si="19"/>
        <v>1612406</v>
      </c>
      <c r="CB76" s="243" t="s">
        <v>1392</v>
      </c>
      <c r="CD76" s="108">
        <v>6324</v>
      </c>
      <c r="CE76" s="108" t="s">
        <v>5760</v>
      </c>
      <c r="CF76" s="108">
        <v>6324</v>
      </c>
      <c r="CG76" s="27"/>
      <c r="CH76" s="49" t="s">
        <v>478</v>
      </c>
      <c r="CI76" s="49" t="s">
        <v>152</v>
      </c>
      <c r="CJ76" s="49">
        <v>30</v>
      </c>
      <c r="CK76" s="49" t="s">
        <v>477</v>
      </c>
      <c r="CL76" s="49" t="s">
        <v>477</v>
      </c>
      <c r="CM76" s="49"/>
      <c r="CN76" s="49"/>
      <c r="CO76" s="50" t="s">
        <v>164</v>
      </c>
      <c r="CP76" s="51" t="str">
        <f>T(記入シート1!AG104)</f>
        <v/>
      </c>
      <c r="CQ76" s="2"/>
      <c r="CR76" s="45"/>
      <c r="CS76" s="45"/>
      <c r="CT76" s="45"/>
      <c r="CU76" s="45"/>
      <c r="CV76" s="10"/>
      <c r="CW76" s="34" t="s">
        <v>126</v>
      </c>
      <c r="CX76" s="34" t="s">
        <v>698</v>
      </c>
      <c r="CY76" s="40"/>
      <c r="CZ76" s="40" t="s">
        <v>359</v>
      </c>
      <c r="DA76" s="40" t="s">
        <v>756</v>
      </c>
      <c r="DB76" s="34" t="str">
        <f t="shared" si="20"/>
        <v>101</v>
      </c>
      <c r="DC76" s="81" t="s">
        <v>127</v>
      </c>
      <c r="DD76" s="96"/>
      <c r="DE76" s="87"/>
      <c r="DF76" s="64"/>
      <c r="DG76" s="64"/>
      <c r="DH76" s="436" t="s">
        <v>938</v>
      </c>
      <c r="DI76" s="436" t="s">
        <v>2171</v>
      </c>
      <c r="DJ76" s="626"/>
      <c r="DK76" s="75" t="str">
        <f t="shared" si="14"/>
        <v>93501PZ5</v>
      </c>
      <c r="DL76" s="78" t="s">
        <v>2183</v>
      </c>
      <c r="DM76" s="78" t="s">
        <v>2185</v>
      </c>
      <c r="DN76" s="627" t="str">
        <f>"6"</f>
        <v>6</v>
      </c>
      <c r="DO76" s="30"/>
      <c r="DP76" s="30"/>
      <c r="DQ76" s="367"/>
      <c r="DR76" s="367"/>
      <c r="DS76" s="367"/>
      <c r="DT76" s="367"/>
      <c r="DU76" s="367"/>
      <c r="DV76" s="27"/>
      <c r="DX76" s="85"/>
      <c r="DY76" s="85"/>
    </row>
    <row r="77" spans="1:129" ht="19.5" hidden="1" customHeight="1" thickBot="1">
      <c r="A77" s="354" t="s">
        <v>1234</v>
      </c>
      <c r="B77" s="181"/>
      <c r="C77" s="1997"/>
      <c r="D77" s="1467"/>
      <c r="E77" s="1467"/>
      <c r="F77" s="1467"/>
      <c r="G77" s="1467"/>
      <c r="H77" s="1467"/>
      <c r="I77" s="1469"/>
      <c r="J77" s="1678" t="s">
        <v>3769</v>
      </c>
      <c r="K77" s="1632"/>
      <c r="L77" s="2016"/>
      <c r="M77" s="2016"/>
      <c r="N77" s="2017"/>
      <c r="O77" s="821"/>
      <c r="P77" s="2462" t="s">
        <v>3770</v>
      </c>
      <c r="Q77" s="2462"/>
      <c r="R77" s="2462"/>
      <c r="S77" s="2462"/>
      <c r="T77" s="821"/>
      <c r="U77" s="2462" t="s">
        <v>2075</v>
      </c>
      <c r="V77" s="2462"/>
      <c r="W77" s="2462"/>
      <c r="X77" s="2467"/>
      <c r="Y77" s="822"/>
      <c r="Z77" s="823"/>
      <c r="AA77" s="823"/>
      <c r="AB77" s="823"/>
      <c r="AC77" s="823"/>
      <c r="AD77" s="823"/>
      <c r="AE77" s="823"/>
      <c r="AF77" s="823"/>
      <c r="AG77" s="823"/>
      <c r="AH77" s="823"/>
      <c r="AI77" s="823"/>
      <c r="AJ77" s="823"/>
      <c r="AK77" s="823"/>
      <c r="AL77" s="823"/>
      <c r="AM77" s="823"/>
      <c r="AN77" s="823"/>
      <c r="AO77" s="823"/>
      <c r="AP77" s="823"/>
      <c r="AQ77" s="823"/>
      <c r="AR77" s="823"/>
      <c r="AS77" s="823"/>
      <c r="AT77" s="824"/>
      <c r="AU77" s="171"/>
      <c r="AV77" s="386" t="str">
        <f>LEFT(AA76,4)</f>
        <v>1801</v>
      </c>
      <c r="AW77" s="710" t="str">
        <f>MID(AA76,6,LEN(AA76)-5)</f>
        <v>宿泊代</v>
      </c>
      <c r="AX77" s="710" t="str">
        <f>IF(AS75="","0",LEFT(AS75,1))</f>
        <v>0</v>
      </c>
      <c r="AY77" s="710">
        <v>2</v>
      </c>
      <c r="AZ77" s="670"/>
      <c r="BA77" s="671"/>
      <c r="BB77" s="671"/>
      <c r="BC77" s="671"/>
      <c r="BD77" s="671"/>
      <c r="BE77" s="671"/>
      <c r="BF77" s="671"/>
      <c r="BG77" s="671"/>
      <c r="BH77" s="671"/>
      <c r="BI77" s="671"/>
      <c r="BJ77" s="671"/>
      <c r="BK77" s="671"/>
      <c r="BL77" s="672"/>
      <c r="BM77" s="672"/>
      <c r="BN77" s="671"/>
      <c r="BO77" s="671"/>
      <c r="BP77" s="671"/>
      <c r="BQ77" s="10"/>
      <c r="BR77" s="671"/>
      <c r="BT77" s="4"/>
      <c r="BU77" s="4"/>
      <c r="BV77" s="4"/>
      <c r="BW77" s="4"/>
      <c r="BZ77" s="369" t="s">
        <v>1345</v>
      </c>
      <c r="CA77" s="369" t="str">
        <f t="shared" si="19"/>
        <v>1613162</v>
      </c>
      <c r="CB77" s="243" t="s">
        <v>1393</v>
      </c>
      <c r="CD77" s="108">
        <v>6325</v>
      </c>
      <c r="CE77" s="108" t="s">
        <v>5761</v>
      </c>
      <c r="CF77" s="108">
        <v>6325</v>
      </c>
      <c r="CG77" s="27"/>
      <c r="CH77" s="49" t="s">
        <v>161</v>
      </c>
      <c r="CI77" s="49" t="s">
        <v>63</v>
      </c>
      <c r="CJ77" s="49">
        <v>1</v>
      </c>
      <c r="CK77" s="49" t="s">
        <v>90</v>
      </c>
      <c r="CL77" s="49" t="s">
        <v>90</v>
      </c>
      <c r="CM77" s="49" t="s">
        <v>479</v>
      </c>
      <c r="CN77" s="49"/>
      <c r="CO77" s="50" t="s">
        <v>160</v>
      </c>
      <c r="CP77" s="51">
        <f>記入シート1!AV105</f>
        <v>0</v>
      </c>
      <c r="CQ77" s="2"/>
      <c r="CR77" s="45"/>
      <c r="CS77" s="45"/>
      <c r="CT77" s="45"/>
      <c r="CU77" s="45"/>
      <c r="CV77" s="10"/>
      <c r="CW77" s="34" t="s">
        <v>18</v>
      </c>
      <c r="CX77" s="34"/>
      <c r="CY77" s="40" t="s">
        <v>736</v>
      </c>
      <c r="CZ77" s="41" t="s">
        <v>349</v>
      </c>
      <c r="DA77" s="40"/>
      <c r="DB77" s="34" t="str">
        <f t="shared" si="20"/>
        <v>102</v>
      </c>
      <c r="DC77" s="102">
        <v>102001</v>
      </c>
      <c r="DD77" s="96"/>
      <c r="DE77" s="87"/>
      <c r="DF77" s="64"/>
      <c r="DG77" s="64"/>
      <c r="DH77" s="436" t="s">
        <v>938</v>
      </c>
      <c r="DI77" s="436" t="s">
        <v>3245</v>
      </c>
      <c r="DJ77" s="626"/>
      <c r="DK77" s="75" t="str">
        <f t="shared" si="14"/>
        <v>93501PZ6</v>
      </c>
      <c r="DL77" s="78" t="s">
        <v>2183</v>
      </c>
      <c r="DM77" s="78" t="s">
        <v>3274</v>
      </c>
      <c r="DN77" s="627" t="str">
        <f>T(記入シート1!I31)</f>
        <v/>
      </c>
      <c r="DO77" s="30"/>
      <c r="DP77" s="30"/>
      <c r="DQ77" s="367"/>
      <c r="DR77" s="367"/>
      <c r="DS77" s="367"/>
      <c r="DT77" s="367"/>
      <c r="DU77" s="367"/>
      <c r="DV77" s="27"/>
      <c r="DX77" s="85"/>
      <c r="DY77" s="85"/>
    </row>
    <row r="78" spans="1:129" ht="19.5" customHeight="1" thickTop="1" thickBot="1">
      <c r="A78" s="354"/>
      <c r="B78" s="181"/>
      <c r="C78" s="1621" t="s">
        <v>3768</v>
      </c>
      <c r="D78" s="1622"/>
      <c r="E78" s="1622"/>
      <c r="F78" s="1622"/>
      <c r="G78" s="1622"/>
      <c r="H78" s="1622"/>
      <c r="I78" s="2014"/>
      <c r="J78" s="834"/>
      <c r="K78" s="781"/>
      <c r="L78" s="2033" t="s">
        <v>642</v>
      </c>
      <c r="M78" s="2034"/>
      <c r="N78" s="2035"/>
      <c r="O78" s="2468" t="s">
        <v>1071</v>
      </c>
      <c r="P78" s="2468"/>
      <c r="Q78" s="2758">
        <v>0</v>
      </c>
      <c r="R78" s="2758"/>
      <c r="S78" s="2758"/>
      <c r="T78" s="2758"/>
      <c r="U78" s="2758">
        <v>0</v>
      </c>
      <c r="V78" s="2758"/>
      <c r="W78" s="2758"/>
      <c r="X78" s="2758"/>
      <c r="Y78" s="2053">
        <v>3.5400000000000001E-2</v>
      </c>
      <c r="Z78" s="2053"/>
      <c r="AA78" s="2053"/>
      <c r="AB78" s="2053"/>
      <c r="AC78" s="2053">
        <v>0</v>
      </c>
      <c r="AD78" s="2053"/>
      <c r="AE78" s="2053"/>
      <c r="AF78" s="2053"/>
      <c r="AG78" s="2054">
        <v>0</v>
      </c>
      <c r="AH78" s="2054"/>
      <c r="AI78" s="2054"/>
      <c r="AJ78" s="2054"/>
      <c r="AK78" s="1018"/>
      <c r="AL78" s="1008"/>
      <c r="AM78" s="1008"/>
      <c r="AN78" s="1008"/>
      <c r="AO78" s="1008"/>
      <c r="AP78" s="2030" t="s">
        <v>5126</v>
      </c>
      <c r="AQ78" s="2030"/>
      <c r="AR78" s="2030"/>
      <c r="AS78" s="2031" t="s">
        <v>3652</v>
      </c>
      <c r="AT78" s="2032"/>
      <c r="AU78" s="171"/>
      <c r="AV78" s="386" t="b">
        <v>0</v>
      </c>
      <c r="AW78" s="387">
        <f>IF(AV78=TRUE,AV78*1,0)</f>
        <v>0</v>
      </c>
      <c r="AX78" s="387" t="s">
        <v>3772</v>
      </c>
      <c r="AY78" s="92" t="str">
        <f>TEXT(BR78,"000")</f>
        <v>944</v>
      </c>
      <c r="AZ78" s="92">
        <f>AW78</f>
        <v>0</v>
      </c>
      <c r="BA78" s="83" t="str">
        <f>IF(O78="2回入金","92",IF(O78="1回入金","91",""))</f>
        <v>92</v>
      </c>
      <c r="BB78" s="106" t="s">
        <v>995</v>
      </c>
      <c r="BC78" s="825" t="s">
        <v>2067</v>
      </c>
      <c r="BD78" s="83">
        <f>ROW(C78)</f>
        <v>78</v>
      </c>
      <c r="BE78" s="83">
        <f>IF(AY78&amp;BC78=AY77&amp;BC77,BE77+1,1)</f>
        <v>1</v>
      </c>
      <c r="BF78" s="610" t="str">
        <f>AY78&amp;BC78&amp;BE78</f>
        <v>944000001</v>
      </c>
      <c r="BG78" s="83"/>
      <c r="BH78" s="83"/>
      <c r="BI78" s="534" t="str">
        <f>BR78&amp;"01"</f>
        <v>94401</v>
      </c>
      <c r="BJ78" s="534">
        <f>IF(L78=$BC$2,1,0)</f>
        <v>1</v>
      </c>
      <c r="BK78" s="83">
        <f>AZ78</f>
        <v>0</v>
      </c>
      <c r="BL78" s="613" t="str">
        <f>IF(AW78=1,Q78,"")</f>
        <v/>
      </c>
      <c r="BM78" s="613" t="str">
        <f>IF(AW78=1,U78,"")</f>
        <v/>
      </c>
      <c r="BN78" s="614" t="str">
        <f>IF(AW78=0,"",Y78)</f>
        <v/>
      </c>
      <c r="BO78" s="614" t="str">
        <f>IF(AW78=0,"",AC78)</f>
        <v/>
      </c>
      <c r="BP78" s="613" t="str">
        <f>IF(AW78=0,"",AG78)</f>
        <v/>
      </c>
      <c r="BQ78" s="431"/>
      <c r="BR78" s="83">
        <v>944</v>
      </c>
      <c r="BT78" s="4"/>
      <c r="BU78" s="4"/>
      <c r="BV78" s="4"/>
      <c r="BW78" s="4"/>
      <c r="BZ78" s="369" t="s">
        <v>1065</v>
      </c>
      <c r="CA78" s="369" t="str">
        <f t="shared" si="19"/>
        <v>1621421</v>
      </c>
      <c r="CB78" s="82" t="s">
        <v>1394</v>
      </c>
      <c r="CD78" s="108">
        <v>6337</v>
      </c>
      <c r="CE78" s="108" t="s">
        <v>5762</v>
      </c>
      <c r="CF78" s="108">
        <v>6337</v>
      </c>
      <c r="CG78" s="27"/>
      <c r="CH78" s="49" t="s">
        <v>177</v>
      </c>
      <c r="CI78" s="49" t="s">
        <v>63</v>
      </c>
      <c r="CJ78" s="49">
        <v>4</v>
      </c>
      <c r="CK78" s="49" t="s">
        <v>90</v>
      </c>
      <c r="CL78" s="49" t="s">
        <v>90</v>
      </c>
      <c r="CM78" s="49"/>
      <c r="CN78" s="49"/>
      <c r="CO78" s="50" t="s">
        <v>176</v>
      </c>
      <c r="CP78" s="51" t="str">
        <f>IF(OR(記入シート1!I106="",記入シート1!K106="",記入シート1!M106="",記入シート1!O106=""),"",記入シート1!I106&amp;記入シート1!K106&amp;記入シート1!M106&amp;記入シート1!O106)</f>
        <v/>
      </c>
      <c r="CQ78" s="2"/>
      <c r="CR78" s="45"/>
      <c r="CS78" s="45"/>
      <c r="CT78" s="45"/>
      <c r="CU78" s="45"/>
      <c r="CV78" s="10"/>
      <c r="CW78" s="34" t="s">
        <v>123</v>
      </c>
      <c r="CX78" s="34"/>
      <c r="CY78" s="40" t="s">
        <v>736</v>
      </c>
      <c r="CZ78" s="41" t="s">
        <v>349</v>
      </c>
      <c r="DA78" s="40"/>
      <c r="DB78" s="34" t="str">
        <f t="shared" si="20"/>
        <v>105</v>
      </c>
      <c r="DC78" s="102">
        <v>105001</v>
      </c>
      <c r="DD78" s="96"/>
      <c r="DE78" s="87"/>
      <c r="DF78" s="64"/>
      <c r="DG78" s="64"/>
      <c r="DH78" s="436" t="s">
        <v>938</v>
      </c>
      <c r="DI78" s="436" t="s">
        <v>3246</v>
      </c>
      <c r="DJ78" s="626"/>
      <c r="DK78" s="75" t="str">
        <f t="shared" si="14"/>
        <v>93501PZ7</v>
      </c>
      <c r="DL78" s="78" t="s">
        <v>2183</v>
      </c>
      <c r="DM78" s="78" t="s">
        <v>3275</v>
      </c>
      <c r="DN78" s="627" t="str">
        <f>T(記入シート1!AB64)</f>
        <v/>
      </c>
      <c r="DO78" s="30"/>
      <c r="DP78" s="30"/>
      <c r="DQ78" s="367"/>
      <c r="DR78" s="367"/>
      <c r="DS78" s="367"/>
      <c r="DT78" s="367"/>
      <c r="DU78" s="367"/>
      <c r="DV78" s="27"/>
      <c r="DX78" s="85"/>
      <c r="DY78" s="85"/>
    </row>
    <row r="79" spans="1:129" ht="19.5" customHeight="1" thickTop="1" thickBot="1">
      <c r="A79" s="354"/>
      <c r="B79" s="181"/>
      <c r="C79" s="1623"/>
      <c r="D79" s="1624"/>
      <c r="E79" s="1624"/>
      <c r="F79" s="1624"/>
      <c r="G79" s="1624"/>
      <c r="H79" s="1624"/>
      <c r="I79" s="2015"/>
      <c r="J79" s="2116" t="s">
        <v>5478</v>
      </c>
      <c r="K79" s="1377"/>
      <c r="L79" s="1377"/>
      <c r="M79" s="1377"/>
      <c r="N79" s="1377"/>
      <c r="O79" s="2898" t="s">
        <v>5298</v>
      </c>
      <c r="P79" s="2757"/>
      <c r="Q79" s="2757"/>
      <c r="R79" s="2757"/>
      <c r="S79" s="2757"/>
      <c r="T79" s="2757"/>
      <c r="U79" s="2757"/>
      <c r="V79" s="2899"/>
      <c r="W79" s="2049" t="s">
        <v>5479</v>
      </c>
      <c r="X79" s="2050"/>
      <c r="Y79" s="2050"/>
      <c r="Z79" s="2051"/>
      <c r="AA79" s="2757" t="s">
        <v>5368</v>
      </c>
      <c r="AB79" s="2757"/>
      <c r="AC79" s="2757"/>
      <c r="AD79" s="2757"/>
      <c r="AE79" s="2757"/>
      <c r="AF79" s="2757"/>
      <c r="AG79" s="2757"/>
      <c r="AH79" s="2757"/>
      <c r="AI79" s="2049" t="s">
        <v>5480</v>
      </c>
      <c r="AJ79" s="2050"/>
      <c r="AK79" s="2050"/>
      <c r="AL79" s="2051"/>
      <c r="AM79" s="1019"/>
      <c r="AN79" s="2050" t="s">
        <v>5481</v>
      </c>
      <c r="AO79" s="2050"/>
      <c r="AP79" s="2050"/>
      <c r="AQ79" s="1019"/>
      <c r="AR79" s="2050" t="s">
        <v>5482</v>
      </c>
      <c r="AS79" s="2050"/>
      <c r="AT79" s="2052"/>
      <c r="AU79" s="171"/>
      <c r="AV79" s="1020" t="str">
        <f>LEFT(O79,4)</f>
        <v>1900</v>
      </c>
      <c r="AW79" s="1027" t="str">
        <f>MID(O79,6,LEN(O79)-5)</f>
        <v>サービス:趣味/娯楽</v>
      </c>
      <c r="AX79" s="1027" t="str">
        <f>LEFT(AA79,4)</f>
        <v>1917</v>
      </c>
      <c r="AY79" s="1027" t="str">
        <f>MID(AA79,6,LEN(AA79)-5)</f>
        <v>ファッションホテル</v>
      </c>
      <c r="AZ79" s="1028" t="str">
        <f>VLOOKUP(AV79,AX575:BA590,4,FALSE)</f>
        <v>2</v>
      </c>
      <c r="BA79" s="1029">
        <v>0</v>
      </c>
      <c r="BB79" s="1030" t="str">
        <f>IF(AV78=TRUE,IF(AND(AV79&lt;&gt;0,AV79&lt;&gt;"0000",AX79&lt;&gt;"0000",LEFT(AV79,2)=LEFT(AX79,2),VALUE(BA79)&gt;0),"OK","NG"),"OK")</f>
        <v>OK</v>
      </c>
      <c r="BC79" s="1026" t="s">
        <v>5483</v>
      </c>
      <c r="BD79" s="1021"/>
      <c r="BE79" s="1021"/>
      <c r="BF79" s="1022"/>
      <c r="BG79" s="1021"/>
      <c r="BH79" s="1021"/>
      <c r="BI79" s="1023"/>
      <c r="BJ79" s="1023"/>
      <c r="BK79" s="1021"/>
      <c r="BL79" s="1024"/>
      <c r="BM79" s="1024"/>
      <c r="BN79" s="1025"/>
      <c r="BO79" s="1025"/>
      <c r="BP79" s="1024"/>
      <c r="BQ79" s="10"/>
      <c r="BR79" s="1021"/>
      <c r="BU79" s="4"/>
      <c r="BV79" s="4"/>
      <c r="BW79" s="4"/>
      <c r="BZ79" s="369" t="s">
        <v>1066</v>
      </c>
      <c r="CA79" s="369" t="str">
        <f t="shared" si="19"/>
        <v>1621420</v>
      </c>
      <c r="CB79" s="82" t="s">
        <v>1395</v>
      </c>
      <c r="CD79" s="108">
        <v>6338</v>
      </c>
      <c r="CE79" s="108" t="s">
        <v>5763</v>
      </c>
      <c r="CF79" s="108">
        <v>6338</v>
      </c>
      <c r="CG79" s="27"/>
      <c r="CH79" s="49" t="s">
        <v>480</v>
      </c>
      <c r="CI79" s="49" t="s">
        <v>63</v>
      </c>
      <c r="CJ79" s="49">
        <v>3</v>
      </c>
      <c r="CK79" s="49" t="s">
        <v>90</v>
      </c>
      <c r="CL79" s="49" t="s">
        <v>90</v>
      </c>
      <c r="CM79" s="49"/>
      <c r="CN79" s="49"/>
      <c r="CO79" s="50" t="s">
        <v>166</v>
      </c>
      <c r="CP79" s="51" t="str">
        <f>IF(OR(記入シート1!V106="",記入シート1!X106="",記入シート1!Z106=""),"",記入シート1!V106&amp;記入シート1!X106&amp;記入シート1!Z106)</f>
        <v/>
      </c>
      <c r="CQ79" s="2"/>
      <c r="CR79" s="45"/>
      <c r="CS79" s="45"/>
      <c r="CT79" s="45"/>
      <c r="CU79" s="45"/>
      <c r="CV79" s="10"/>
      <c r="CW79" s="8" t="s">
        <v>2022</v>
      </c>
      <c r="CX79" s="8"/>
      <c r="CY79" s="616" t="s">
        <v>2023</v>
      </c>
      <c r="CZ79" s="617" t="s">
        <v>349</v>
      </c>
      <c r="DA79" s="616"/>
      <c r="DB79" s="71" t="str">
        <f>LEFT(DC79,3)</f>
        <v>001</v>
      </c>
      <c r="DC79" s="77" t="s">
        <v>2021</v>
      </c>
      <c r="DD79" s="72" t="str">
        <f>""</f>
        <v/>
      </c>
      <c r="DE79" s="87"/>
      <c r="DF79" s="64"/>
      <c r="DG79" s="64"/>
      <c r="DH79" s="436" t="s">
        <v>938</v>
      </c>
      <c r="DI79" s="436" t="s">
        <v>3247</v>
      </c>
      <c r="DJ79" s="626"/>
      <c r="DK79" s="75" t="str">
        <f t="shared" si="14"/>
        <v>93501PZ8</v>
      </c>
      <c r="DL79" s="78" t="s">
        <v>2183</v>
      </c>
      <c r="DM79" s="78" t="s">
        <v>3276</v>
      </c>
      <c r="DN79" s="627" t="str">
        <f>T(記入シート1!AB67)</f>
        <v/>
      </c>
      <c r="DO79" s="30"/>
      <c r="DP79" s="30"/>
      <c r="DQ79" s="367"/>
      <c r="DR79" s="367"/>
      <c r="DS79" s="367"/>
      <c r="DT79" s="367"/>
      <c r="DU79" s="367"/>
      <c r="DV79" s="27"/>
      <c r="DX79" s="85"/>
      <c r="DY79" s="85"/>
    </row>
    <row r="80" spans="1:129" ht="19.5" customHeight="1" thickTop="1" thickBot="1">
      <c r="A80" s="354"/>
      <c r="B80" s="181"/>
      <c r="C80" s="2523" t="s">
        <v>5127</v>
      </c>
      <c r="D80" s="2524"/>
      <c r="E80" s="2524"/>
      <c r="F80" s="2524"/>
      <c r="G80" s="2524"/>
      <c r="H80" s="2524"/>
      <c r="I80" s="2525"/>
      <c r="J80" s="1009"/>
      <c r="K80" s="853"/>
      <c r="L80" s="2033" t="s">
        <v>642</v>
      </c>
      <c r="M80" s="2034"/>
      <c r="N80" s="2035"/>
      <c r="O80" s="2468" t="s">
        <v>1071</v>
      </c>
      <c r="P80" s="2468"/>
      <c r="Q80" s="2758">
        <v>0</v>
      </c>
      <c r="R80" s="2758"/>
      <c r="S80" s="2758"/>
      <c r="T80" s="2758"/>
      <c r="U80" s="2758">
        <v>0</v>
      </c>
      <c r="V80" s="2758"/>
      <c r="W80" s="2758"/>
      <c r="X80" s="2758"/>
      <c r="Y80" s="2053">
        <v>0</v>
      </c>
      <c r="Z80" s="2053"/>
      <c r="AA80" s="2053"/>
      <c r="AB80" s="2053"/>
      <c r="AC80" s="2053">
        <v>0</v>
      </c>
      <c r="AD80" s="2053"/>
      <c r="AE80" s="2053"/>
      <c r="AF80" s="2053"/>
      <c r="AG80" s="2054">
        <v>0</v>
      </c>
      <c r="AH80" s="2054"/>
      <c r="AI80" s="2054"/>
      <c r="AJ80" s="2054"/>
      <c r="AK80" s="603"/>
      <c r="AL80" s="603"/>
      <c r="AM80" s="603"/>
      <c r="AN80" s="603"/>
      <c r="AO80" s="603"/>
      <c r="AP80" s="2526" t="s">
        <v>3651</v>
      </c>
      <c r="AQ80" s="2526"/>
      <c r="AR80" s="2526"/>
      <c r="AS80" s="2527" t="s">
        <v>3652</v>
      </c>
      <c r="AT80" s="2528"/>
      <c r="AU80" s="171"/>
      <c r="AV80" s="386" t="b">
        <v>0</v>
      </c>
      <c r="AW80" s="387">
        <f>IF(AV80=TRUE,AV80*1,0)</f>
        <v>0</v>
      </c>
      <c r="AX80" s="387" t="s">
        <v>5099</v>
      </c>
      <c r="AY80" s="92" t="str">
        <f>TEXT(BR80,"000")</f>
        <v>945</v>
      </c>
      <c r="AZ80" s="92">
        <f>AW80</f>
        <v>0</v>
      </c>
      <c r="BA80" s="83" t="str">
        <f>IF(O80="2回入金","92",IF(O80="1回入金","91",""))</f>
        <v>92</v>
      </c>
      <c r="BB80" s="106" t="s">
        <v>995</v>
      </c>
      <c r="BC80" s="84" t="s">
        <v>2109</v>
      </c>
      <c r="BD80" s="83">
        <f>ROW(C80)</f>
        <v>80</v>
      </c>
      <c r="BE80" s="83">
        <f>IF(AY80&amp;BC80=AY79&amp;BC79,BE79+1,1)</f>
        <v>1</v>
      </c>
      <c r="BF80" s="610" t="str">
        <f>AY80&amp;BC80&amp;BE80</f>
        <v>945000001</v>
      </c>
      <c r="BG80" s="83"/>
      <c r="BH80" s="83"/>
      <c r="BI80" s="534" t="str">
        <f>BR80&amp;"01"</f>
        <v>94501</v>
      </c>
      <c r="BJ80" s="534">
        <f>IF(L80=$BC$2,1,0)</f>
        <v>1</v>
      </c>
      <c r="BK80" s="83">
        <f>AZ80</f>
        <v>0</v>
      </c>
      <c r="BL80" s="613" t="str">
        <f>IF(AW80=1,Q80,"")</f>
        <v/>
      </c>
      <c r="BM80" s="613" t="str">
        <f>IF(AW80=1,U80,"")</f>
        <v/>
      </c>
      <c r="BN80" s="614" t="str">
        <f>IF(AW80=0,"",Y80)</f>
        <v/>
      </c>
      <c r="BO80" s="614" t="str">
        <f>IF(AW80=0,"",AC80)</f>
        <v/>
      </c>
      <c r="BP80" s="613" t="str">
        <f>IF(AW80=0,"",AG80)</f>
        <v/>
      </c>
      <c r="BQ80" s="431"/>
      <c r="BR80" s="83">
        <v>945</v>
      </c>
      <c r="BU80" s="4"/>
      <c r="BV80" s="4"/>
      <c r="BW80" s="4"/>
      <c r="BZ80" s="369" t="s">
        <v>1067</v>
      </c>
      <c r="CA80" s="369" t="str">
        <f t="shared" si="19"/>
        <v>1621422</v>
      </c>
      <c r="CB80" s="82" t="s">
        <v>1396</v>
      </c>
      <c r="CD80" s="108">
        <v>6385</v>
      </c>
      <c r="CE80" s="108" t="s">
        <v>5764</v>
      </c>
      <c r="CF80" s="108">
        <v>6385</v>
      </c>
      <c r="CG80" s="27"/>
      <c r="CH80" s="49" t="s">
        <v>158</v>
      </c>
      <c r="CI80" s="49" t="s">
        <v>63</v>
      </c>
      <c r="CJ80" s="49">
        <v>1</v>
      </c>
      <c r="CK80" s="49" t="s">
        <v>90</v>
      </c>
      <c r="CL80" s="49" t="s">
        <v>90</v>
      </c>
      <c r="CM80" s="49" t="s">
        <v>481</v>
      </c>
      <c r="CN80" s="49"/>
      <c r="CO80" s="50" t="s">
        <v>157</v>
      </c>
      <c r="CP80" s="51">
        <f>記入シート1!AV108</f>
        <v>0</v>
      </c>
      <c r="CQ80" s="2"/>
      <c r="CR80" s="45"/>
      <c r="CS80" s="45"/>
      <c r="CT80" s="45"/>
      <c r="CU80" s="45"/>
      <c r="CV80" s="10"/>
      <c r="CW80" s="8" t="s">
        <v>891</v>
      </c>
      <c r="CX80" s="8"/>
      <c r="CY80" s="616" t="s">
        <v>736</v>
      </c>
      <c r="CZ80" s="617" t="s">
        <v>349</v>
      </c>
      <c r="DA80" s="616"/>
      <c r="DB80" s="71" t="str">
        <f t="shared" si="20"/>
        <v>106</v>
      </c>
      <c r="DC80" s="77" t="s">
        <v>930</v>
      </c>
      <c r="DD80" s="687">
        <f>IF(AND(AV15=TRUE,AV89=FALSE),1,0)</f>
        <v>0</v>
      </c>
      <c r="DE80" s="87"/>
      <c r="DF80" s="64"/>
      <c r="DG80" s="64"/>
      <c r="DH80" s="436" t="s">
        <v>938</v>
      </c>
      <c r="DI80" s="436" t="s">
        <v>3251</v>
      </c>
      <c r="DJ80" s="626"/>
      <c r="DK80" s="75" t="str">
        <f t="shared" si="14"/>
        <v>93501PZ9</v>
      </c>
      <c r="DL80" s="78" t="s">
        <v>2183</v>
      </c>
      <c r="DM80" s="78" t="s">
        <v>3277</v>
      </c>
      <c r="DN80" s="692" t="str">
        <f>""</f>
        <v/>
      </c>
      <c r="DO80" s="30"/>
      <c r="DP80" s="30"/>
      <c r="DQ80" s="367"/>
      <c r="DR80" s="367"/>
      <c r="DS80" s="367"/>
      <c r="DT80" s="367"/>
      <c r="DU80" s="367"/>
      <c r="DV80" s="27"/>
      <c r="DX80" s="85"/>
      <c r="DY80" s="85"/>
    </row>
    <row r="81" spans="1:129" ht="19.5" customHeight="1" thickBot="1">
      <c r="A81" s="354"/>
      <c r="B81" s="181"/>
      <c r="C81" s="497"/>
      <c r="D81" s="497"/>
      <c r="E81" s="497"/>
      <c r="F81" s="497"/>
      <c r="G81" s="497"/>
      <c r="H81" s="497"/>
      <c r="I81" s="497"/>
      <c r="J81" s="497"/>
      <c r="K81" s="497"/>
      <c r="L81" s="1007"/>
      <c r="M81" s="1007"/>
      <c r="N81" s="1010"/>
      <c r="O81" s="1010"/>
      <c r="P81" s="1010"/>
      <c r="Q81" s="1010"/>
      <c r="R81" s="1010"/>
      <c r="S81" s="1010"/>
      <c r="T81" s="101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171"/>
      <c r="AV81" s="386"/>
      <c r="BV81" s="4"/>
      <c r="BW81" s="4"/>
      <c r="BX81" s="4"/>
      <c r="BZ81" s="369" t="s">
        <v>1068</v>
      </c>
      <c r="CA81" s="369" t="str">
        <f t="shared" si="19"/>
        <v>1621424</v>
      </c>
      <c r="CB81" s="82" t="s">
        <v>1397</v>
      </c>
      <c r="CD81" s="108">
        <v>6386</v>
      </c>
      <c r="CE81" s="108" t="s">
        <v>5765</v>
      </c>
      <c r="CF81" s="108">
        <v>6386</v>
      </c>
      <c r="CG81" s="27"/>
      <c r="CH81" s="49" t="s">
        <v>155</v>
      </c>
      <c r="CI81" s="49" t="s">
        <v>63</v>
      </c>
      <c r="CJ81" s="49">
        <v>7</v>
      </c>
      <c r="CK81" s="49" t="s">
        <v>482</v>
      </c>
      <c r="CL81" s="49" t="s">
        <v>482</v>
      </c>
      <c r="CM81" s="49"/>
      <c r="CN81" s="49"/>
      <c r="CO81" s="50" t="s">
        <v>154</v>
      </c>
      <c r="CP81" s="51" t="str">
        <f>IF(OR(記入シート1!Z108="",記入シート1!AB108="",記入シート1!AD108="",記入シート1!AF108="",記入シート1!AH108=""),"",RIGHT("0" &amp; 記入シート1!V108&amp;記入シート1!X108&amp;記入シート1!Z108&amp;記入シート1!AB108&amp;記入シート1!AD108&amp;記入シート1!AF108&amp;記入シート1!AH108,7))</f>
        <v/>
      </c>
      <c r="CQ81" s="2"/>
      <c r="CR81" s="45"/>
      <c r="CS81" s="45"/>
      <c r="CT81" s="45"/>
      <c r="CU81" s="45"/>
      <c r="CV81" s="10"/>
      <c r="CW81" s="8" t="s">
        <v>1010</v>
      </c>
      <c r="CX81" s="8"/>
      <c r="CY81" s="616" t="s">
        <v>1011</v>
      </c>
      <c r="CZ81" s="617" t="s">
        <v>1009</v>
      </c>
      <c r="DA81" s="616"/>
      <c r="DB81" s="71" t="str">
        <f>LEFT(DC81,3)</f>
        <v>707</v>
      </c>
      <c r="DC81" s="77" t="s">
        <v>1008</v>
      </c>
      <c r="DD81" s="72">
        <f>IF(AV97=TRUE,1,0)</f>
        <v>0</v>
      </c>
      <c r="DE81" s="87"/>
      <c r="DF81" s="64"/>
      <c r="DG81" s="64"/>
      <c r="DH81" s="436" t="s">
        <v>938</v>
      </c>
      <c r="DI81" s="436" t="s">
        <v>3272</v>
      </c>
      <c r="DJ81" s="626"/>
      <c r="DK81" s="75" t="str">
        <f t="shared" si="14"/>
        <v>93501PZA</v>
      </c>
      <c r="DL81" s="78" t="s">
        <v>2183</v>
      </c>
      <c r="DM81" s="78" t="s">
        <v>3273</v>
      </c>
      <c r="DN81" s="627" t="str">
        <f>ASC(SUBSTITUTE(CP48," ","_"))</f>
        <v/>
      </c>
      <c r="DO81" s="30"/>
      <c r="DP81" s="30"/>
      <c r="DQ81" s="367"/>
      <c r="DR81" s="367"/>
      <c r="DS81" s="367"/>
      <c r="DT81" s="367"/>
      <c r="DU81" s="367"/>
      <c r="DV81" s="27"/>
      <c r="DX81" s="85"/>
      <c r="DY81" s="85"/>
    </row>
    <row r="82" spans="1:129" ht="19.5" customHeight="1">
      <c r="A82" s="354"/>
      <c r="B82" s="181"/>
      <c r="C82" s="1228" t="s">
        <v>5040</v>
      </c>
      <c r="D82" s="1229"/>
      <c r="E82" s="1229"/>
      <c r="F82" s="1229"/>
      <c r="G82" s="1229"/>
      <c r="H82" s="1229"/>
      <c r="I82" s="1230"/>
      <c r="J82" s="2530" t="s">
        <v>4373</v>
      </c>
      <c r="K82" s="2531"/>
      <c r="L82" s="2531"/>
      <c r="M82" s="2531"/>
      <c r="N82" s="2532"/>
      <c r="O82" s="897"/>
      <c r="P82" s="897"/>
      <c r="Q82" s="2900" t="s">
        <v>4346</v>
      </c>
      <c r="R82" s="2900"/>
      <c r="S82" s="2900"/>
      <c r="T82" s="898"/>
      <c r="U82" s="899"/>
      <c r="V82" s="2913" t="s">
        <v>4347</v>
      </c>
      <c r="W82" s="2913"/>
      <c r="X82" s="2913"/>
      <c r="Y82" s="2534" t="s">
        <v>4375</v>
      </c>
      <c r="Z82" s="2535"/>
      <c r="AA82" s="2535"/>
      <c r="AB82" s="2535"/>
      <c r="AC82" s="2535"/>
      <c r="AD82" s="2535"/>
      <c r="AE82" s="2535"/>
      <c r="AF82" s="2535"/>
      <c r="AG82" s="2535"/>
      <c r="AH82" s="2535"/>
      <c r="AI82" s="2535"/>
      <c r="AJ82" s="2535"/>
      <c r="AK82" s="2535"/>
      <c r="AL82" s="2535"/>
      <c r="AM82" s="2535"/>
      <c r="AN82" s="2535"/>
      <c r="AO82" s="2535"/>
      <c r="AP82" s="2535"/>
      <c r="AQ82" s="2535"/>
      <c r="AR82" s="2535"/>
      <c r="AS82" s="2535"/>
      <c r="AT82" s="2536"/>
      <c r="AU82" s="171"/>
      <c r="AV82" s="386">
        <v>1</v>
      </c>
      <c r="AW82" s="745" t="str">
        <f>IF(AV42=TRUE,IF(AV82=0,"NG","OK"),"OK")</f>
        <v>OK</v>
      </c>
      <c r="AX82" s="499" t="s">
        <v>4379</v>
      </c>
      <c r="BV82" s="4"/>
      <c r="BW82" s="4"/>
      <c r="BX82" s="4"/>
      <c r="BZ82" s="369" t="s">
        <v>1069</v>
      </c>
      <c r="CA82" s="369" t="str">
        <f t="shared" si="19"/>
        <v>1621423</v>
      </c>
      <c r="CB82" s="82" t="s">
        <v>1398</v>
      </c>
      <c r="CD82" s="108">
        <v>6388</v>
      </c>
      <c r="CE82" s="108" t="s">
        <v>5766</v>
      </c>
      <c r="CF82" s="108">
        <v>6388</v>
      </c>
      <c r="CG82" s="27"/>
      <c r="CH82" s="49" t="s">
        <v>483</v>
      </c>
      <c r="CI82" s="49" t="s">
        <v>152</v>
      </c>
      <c r="CJ82" s="49">
        <v>100</v>
      </c>
      <c r="CK82" s="49" t="s">
        <v>220</v>
      </c>
      <c r="CL82" s="49" t="s">
        <v>220</v>
      </c>
      <c r="CM82" s="49"/>
      <c r="CN82" s="49"/>
      <c r="CO82" s="50" t="s">
        <v>151</v>
      </c>
      <c r="CP82" s="51" t="str">
        <f>DBCS(記入シート1!I112)</f>
        <v/>
      </c>
      <c r="CQ82" s="2"/>
      <c r="CR82" s="45"/>
      <c r="CS82" s="45"/>
      <c r="CT82" s="45"/>
      <c r="CU82" s="45"/>
      <c r="CV82" s="10"/>
      <c r="CW82" s="8" t="s">
        <v>1959</v>
      </c>
      <c r="CX82" s="8"/>
      <c r="CY82" s="616" t="s">
        <v>736</v>
      </c>
      <c r="CZ82" s="617" t="s">
        <v>349</v>
      </c>
      <c r="DA82" s="616"/>
      <c r="DB82" s="71" t="str">
        <f t="shared" ref="DB82:DB99" si="21">LEFT(DC82,3)</f>
        <v>107</v>
      </c>
      <c r="DC82" s="77" t="s">
        <v>1961</v>
      </c>
      <c r="DD82" s="72">
        <f>IF(AV29=TRUE,1,0)</f>
        <v>0</v>
      </c>
      <c r="DE82" s="87"/>
      <c r="DF82" s="64"/>
      <c r="DG82" s="64"/>
      <c r="DH82" s="436" t="s">
        <v>2152</v>
      </c>
      <c r="DI82" s="436" t="s">
        <v>2173</v>
      </c>
      <c r="DJ82" s="626"/>
      <c r="DK82" s="75" t="str">
        <f t="shared" si="14"/>
        <v>93601Q07</v>
      </c>
      <c r="DL82" s="78" t="s">
        <v>2186</v>
      </c>
      <c r="DM82" s="78" t="s">
        <v>2187</v>
      </c>
      <c r="DN82" s="627" t="str">
        <f>T(記入シート1!I67)</f>
        <v/>
      </c>
      <c r="DO82" s="30"/>
      <c r="DP82" s="30"/>
      <c r="DQ82" s="367"/>
      <c r="DR82" s="367"/>
      <c r="DS82" s="367"/>
      <c r="DT82" s="367"/>
      <c r="DU82" s="367"/>
      <c r="DV82" s="27"/>
      <c r="DX82" s="85"/>
      <c r="DY82" s="85"/>
    </row>
    <row r="83" spans="1:129" ht="19.5" hidden="1" customHeight="1">
      <c r="A83" s="354" t="s">
        <v>1234</v>
      </c>
      <c r="B83" s="181"/>
      <c r="C83" s="1242"/>
      <c r="D83" s="1243"/>
      <c r="E83" s="1243"/>
      <c r="F83" s="1243"/>
      <c r="G83" s="1243"/>
      <c r="H83" s="1243"/>
      <c r="I83" s="1244"/>
      <c r="J83" s="2022" t="s">
        <v>4149</v>
      </c>
      <c r="K83" s="1486"/>
      <c r="L83" s="1486"/>
      <c r="M83" s="1486"/>
      <c r="N83" s="2023"/>
      <c r="O83" s="958"/>
      <c r="P83" s="958"/>
      <c r="Q83" s="2846" t="s">
        <v>4348</v>
      </c>
      <c r="R83" s="2846"/>
      <c r="S83" s="2846"/>
      <c r="T83" s="958"/>
      <c r="U83" s="958"/>
      <c r="V83" s="2846" t="s">
        <v>4349</v>
      </c>
      <c r="W83" s="2846"/>
      <c r="X83" s="2846"/>
      <c r="Y83" s="2888" t="s">
        <v>4374</v>
      </c>
      <c r="Z83" s="2889"/>
      <c r="AA83" s="2889"/>
      <c r="AB83" s="2889"/>
      <c r="AC83" s="2889"/>
      <c r="AD83" s="2889"/>
      <c r="AE83" s="2889"/>
      <c r="AF83" s="2889"/>
      <c r="AG83" s="2889"/>
      <c r="AH83" s="2889"/>
      <c r="AI83" s="2889"/>
      <c r="AJ83" s="2889"/>
      <c r="AK83" s="2889"/>
      <c r="AL83" s="2889"/>
      <c r="AM83" s="2889"/>
      <c r="AN83" s="2889"/>
      <c r="AO83" s="2889"/>
      <c r="AP83" s="2889"/>
      <c r="AQ83" s="2889"/>
      <c r="AR83" s="2889"/>
      <c r="AS83" s="2889"/>
      <c r="AT83" s="2890"/>
      <c r="AU83" s="171"/>
      <c r="AV83" s="745">
        <f>IF(AW156=1,2,1)</f>
        <v>1</v>
      </c>
      <c r="BV83" s="4"/>
      <c r="BW83" s="4"/>
      <c r="BX83" s="4"/>
      <c r="BZ83" s="369" t="s">
        <v>1070</v>
      </c>
      <c r="CA83" s="369" t="str">
        <f t="shared" si="19"/>
        <v>0107746</v>
      </c>
      <c r="CB83" s="82" t="s">
        <v>1399</v>
      </c>
      <c r="CD83" s="108">
        <v>6389</v>
      </c>
      <c r="CE83" s="108" t="s">
        <v>5767</v>
      </c>
      <c r="CF83" s="108">
        <v>6389</v>
      </c>
      <c r="CG83" s="27"/>
      <c r="CH83" s="49" t="s">
        <v>149</v>
      </c>
      <c r="CI83" s="49" t="s">
        <v>22</v>
      </c>
      <c r="CJ83" s="49">
        <v>100</v>
      </c>
      <c r="CK83" s="49" t="s">
        <v>90</v>
      </c>
      <c r="CL83" s="49" t="s">
        <v>90</v>
      </c>
      <c r="CM83" s="49"/>
      <c r="CN83" s="49"/>
      <c r="CO83" s="50" t="s">
        <v>148</v>
      </c>
      <c r="CP83" s="51" t="str">
        <f>ASC(LEFT(T(SUBSTITUTE(SUBSTITUTE(IF(LEFT(T(記入シート1!I110),8)="カブシキガイシャ",SUBSTITUTE(T(記入シート1!I110),"カブシキガイシャ","カ)"),IF(RIGHT(T(記入シート1!I110),8)="カブシキガイシャ",SUBSTITUTE(T(記入シート1!I110),"カブシキガイシャ","(カ"),IF(LEFT(T(記入シート1!I110),8)="ユウゲンガイシャ",SUBSTITUTE(T(記入シート1!I110),"ユウゲンガイシャ","ユ)"),IF(RIGHT(T(記入シート1!I110),8)="ユウゲンガイシャ",SUBSTITUTE(T(記入シート1!I110),"ユウゲンガイシャ","(ユ"),T(記入シート1!I110))))),"ヴ","ウﾞ"),"・",".")),35))</f>
        <v/>
      </c>
      <c r="CQ83" s="2"/>
      <c r="CR83" s="45"/>
      <c r="CS83" s="45"/>
      <c r="CT83" s="45"/>
      <c r="CU83" s="45"/>
      <c r="CV83" s="10"/>
      <c r="CW83" s="8" t="s">
        <v>1960</v>
      </c>
      <c r="CX83" s="8"/>
      <c r="CY83" s="616" t="s">
        <v>624</v>
      </c>
      <c r="CZ83" s="617" t="s">
        <v>1009</v>
      </c>
      <c r="DA83" s="616"/>
      <c r="DB83" s="71" t="str">
        <f t="shared" si="21"/>
        <v>108</v>
      </c>
      <c r="DC83" s="77" t="s">
        <v>1962</v>
      </c>
      <c r="DD83" s="72">
        <f>IF(AV30=TRUE,1,0)</f>
        <v>0</v>
      </c>
      <c r="DE83" s="87"/>
      <c r="DF83" s="64"/>
      <c r="DG83" s="64"/>
      <c r="DH83" s="436" t="s">
        <v>2152</v>
      </c>
      <c r="DI83" s="436" t="s">
        <v>2174</v>
      </c>
      <c r="DJ83" s="626"/>
      <c r="DK83" s="75" t="str">
        <f t="shared" si="14"/>
        <v>93601Q08</v>
      </c>
      <c r="DL83" s="78" t="s">
        <v>2186</v>
      </c>
      <c r="DM83" s="78" t="s">
        <v>2188</v>
      </c>
      <c r="DN83" s="627" t="str">
        <f>IF(記入シート1!AV88="00","",TEXT(記入シート1!AZ88,0))</f>
        <v>1</v>
      </c>
      <c r="DO83" s="30"/>
      <c r="DP83" s="18"/>
      <c r="DQ83" s="368"/>
      <c r="DR83" s="368"/>
      <c r="DS83" s="368"/>
      <c r="DT83" s="368"/>
      <c r="DU83" s="368"/>
      <c r="DV83" s="27"/>
      <c r="DX83" s="85"/>
      <c r="DY83" s="85"/>
    </row>
    <row r="84" spans="1:129" ht="19.5" customHeight="1">
      <c r="A84" s="111"/>
      <c r="B84" s="181"/>
      <c r="C84" s="2019" t="s">
        <v>5039</v>
      </c>
      <c r="D84" s="2020"/>
      <c r="E84" s="2020"/>
      <c r="F84" s="2020"/>
      <c r="G84" s="2020"/>
      <c r="H84" s="2020"/>
      <c r="I84" s="2021"/>
      <c r="J84" s="2901" t="s">
        <v>5041</v>
      </c>
      <c r="K84" s="2902"/>
      <c r="L84" s="2902"/>
      <c r="M84" s="2902"/>
      <c r="N84" s="2903"/>
      <c r="O84" s="1044"/>
      <c r="P84" s="946"/>
      <c r="Q84" s="2761" t="s">
        <v>4348</v>
      </c>
      <c r="R84" s="2761"/>
      <c r="S84" s="2761"/>
      <c r="T84" s="946"/>
      <c r="U84" s="1045"/>
      <c r="V84" s="2759" t="s">
        <v>5044</v>
      </c>
      <c r="W84" s="2759"/>
      <c r="X84" s="2759"/>
      <c r="Y84" s="2759"/>
      <c r="Z84" s="2759"/>
      <c r="AA84" s="2759"/>
      <c r="AB84" s="2759"/>
      <c r="AC84" s="2759"/>
      <c r="AD84" s="1045"/>
      <c r="AE84" s="1046"/>
      <c r="AF84" s="2759" t="s">
        <v>5045</v>
      </c>
      <c r="AG84" s="2759"/>
      <c r="AH84" s="2759"/>
      <c r="AI84" s="2759"/>
      <c r="AJ84" s="2759"/>
      <c r="AK84" s="2759"/>
      <c r="AL84" s="2759"/>
      <c r="AM84" s="2760"/>
      <c r="AN84" s="1045"/>
      <c r="AO84" s="1045"/>
      <c r="AP84" s="1045"/>
      <c r="AQ84" s="1045"/>
      <c r="AR84" s="1045"/>
      <c r="AS84" s="1045"/>
      <c r="AT84" s="1047"/>
      <c r="AU84" s="171"/>
      <c r="AV84" s="386">
        <v>3</v>
      </c>
      <c r="AW84" s="745" t="str">
        <f>IF(OR(AV84=0,AV87=0),"NG",IF(AND(AV84=2,OR(Q85="",S85="",U85="",W85="")),"NG","OK"))</f>
        <v>OK</v>
      </c>
      <c r="AX84" s="499" t="s">
        <v>2077</v>
      </c>
      <c r="BV84" s="4"/>
      <c r="BW84" s="4"/>
      <c r="BX84" s="4"/>
      <c r="BZ84" s="369" t="s">
        <v>2103</v>
      </c>
      <c r="CA84" s="369" t="str">
        <f t="shared" si="19"/>
        <v>9999995</v>
      </c>
      <c r="CB84" s="82" t="s">
        <v>2104</v>
      </c>
      <c r="CD84" s="108">
        <v>6390</v>
      </c>
      <c r="CE84" s="108" t="s">
        <v>5768</v>
      </c>
      <c r="CF84" s="108">
        <v>6390</v>
      </c>
      <c r="CG84" s="27"/>
      <c r="CH84" s="59" t="s">
        <v>599</v>
      </c>
      <c r="CI84" s="59"/>
      <c r="CJ84" s="59"/>
      <c r="CK84" s="59"/>
      <c r="CL84" s="59"/>
      <c r="CM84" s="59"/>
      <c r="CN84" s="59"/>
      <c r="CO84" s="10"/>
      <c r="CP84" s="10"/>
      <c r="CQ84" s="2"/>
      <c r="CR84" s="45"/>
      <c r="CS84" s="45"/>
      <c r="CT84" s="45"/>
      <c r="CU84" s="45"/>
      <c r="CV84" s="10"/>
      <c r="CW84" s="8" t="s">
        <v>1976</v>
      </c>
      <c r="CX84" s="8"/>
      <c r="CY84" s="616" t="s">
        <v>624</v>
      </c>
      <c r="CZ84" s="617" t="s">
        <v>1009</v>
      </c>
      <c r="DA84" s="616"/>
      <c r="DB84" s="71" t="str">
        <f t="shared" si="21"/>
        <v>109</v>
      </c>
      <c r="DC84" s="77" t="s">
        <v>1990</v>
      </c>
      <c r="DD84" s="72">
        <f>IF(AV31=TRUE,1,0)</f>
        <v>0</v>
      </c>
      <c r="DE84" s="87"/>
      <c r="DF84" s="64"/>
      <c r="DG84" s="64"/>
      <c r="DH84" s="436" t="s">
        <v>2152</v>
      </c>
      <c r="DI84" s="436" t="s">
        <v>2175</v>
      </c>
      <c r="DJ84" s="626"/>
      <c r="DK84" s="75" t="str">
        <f t="shared" si="14"/>
        <v>93601Q09</v>
      </c>
      <c r="DL84" s="78" t="s">
        <v>2186</v>
      </c>
      <c r="DM84" s="78" t="s">
        <v>2189</v>
      </c>
      <c r="DN84" s="627" t="str">
        <f>IF(AV61="0000","",AV61)</f>
        <v>1500</v>
      </c>
      <c r="DO84" s="30"/>
      <c r="DP84" s="18"/>
      <c r="DQ84" s="368"/>
      <c r="DR84" s="368"/>
      <c r="DS84" s="368"/>
      <c r="DT84" s="368"/>
      <c r="DU84" s="368"/>
      <c r="DV84" s="27"/>
      <c r="DX84" s="85"/>
      <c r="DY84" s="85"/>
    </row>
    <row r="85" spans="1:129" ht="19.5" customHeight="1">
      <c r="A85" s="111"/>
      <c r="B85" s="181"/>
      <c r="C85" s="1200"/>
      <c r="D85" s="1201"/>
      <c r="E85" s="1201"/>
      <c r="F85" s="1201"/>
      <c r="G85" s="1201"/>
      <c r="H85" s="1201"/>
      <c r="I85" s="1202"/>
      <c r="J85" s="2027" t="s">
        <v>5043</v>
      </c>
      <c r="K85" s="1883"/>
      <c r="L85" s="1883"/>
      <c r="M85" s="1883"/>
      <c r="N85" s="1883"/>
      <c r="O85" s="1678" t="s">
        <v>5046</v>
      </c>
      <c r="P85" s="1633"/>
      <c r="Q85" s="1658"/>
      <c r="R85" s="1634"/>
      <c r="S85" s="1634"/>
      <c r="T85" s="1634"/>
      <c r="U85" s="1634"/>
      <c r="V85" s="1634"/>
      <c r="W85" s="1634"/>
      <c r="X85" s="1635"/>
      <c r="Y85" s="1632" t="s">
        <v>5048</v>
      </c>
      <c r="Z85" s="1633"/>
      <c r="AA85" s="1658"/>
      <c r="AB85" s="1634"/>
      <c r="AC85" s="1634"/>
      <c r="AD85" s="1634"/>
      <c r="AE85" s="1634"/>
      <c r="AF85" s="1634"/>
      <c r="AG85" s="1634"/>
      <c r="AH85" s="1635"/>
      <c r="AI85" s="1632" t="s">
        <v>5049</v>
      </c>
      <c r="AJ85" s="1633"/>
      <c r="AK85" s="1658"/>
      <c r="AL85" s="1634"/>
      <c r="AM85" s="1634"/>
      <c r="AN85" s="1634"/>
      <c r="AO85" s="1634"/>
      <c r="AP85" s="1634"/>
      <c r="AQ85" s="1634"/>
      <c r="AR85" s="1635"/>
      <c r="AS85" s="952"/>
      <c r="AT85" s="953"/>
      <c r="AU85" s="171"/>
      <c r="BV85" s="4"/>
      <c r="BW85" s="4"/>
      <c r="BX85" s="4"/>
      <c r="BZ85" s="369">
        <v>1626031</v>
      </c>
      <c r="CA85" s="369" t="s">
        <v>2246</v>
      </c>
      <c r="CB85" s="82" t="s">
        <v>2247</v>
      </c>
      <c r="CD85" s="108">
        <v>6391</v>
      </c>
      <c r="CE85" s="108" t="s">
        <v>5769</v>
      </c>
      <c r="CF85" s="108">
        <v>6391</v>
      </c>
      <c r="CG85" s="27"/>
      <c r="CH85" s="46" t="s">
        <v>323</v>
      </c>
      <c r="CI85" s="47" t="s">
        <v>586</v>
      </c>
      <c r="CJ85" s="47" t="s">
        <v>321</v>
      </c>
      <c r="CK85" s="46" t="s">
        <v>320</v>
      </c>
      <c r="CL85" s="46" t="s">
        <v>587</v>
      </c>
      <c r="CM85" s="46" t="s">
        <v>326</v>
      </c>
      <c r="CN85" s="46" t="s">
        <v>327</v>
      </c>
      <c r="CO85" s="46" t="s">
        <v>376</v>
      </c>
      <c r="CP85" s="46" t="s">
        <v>377</v>
      </c>
      <c r="CQ85" s="2"/>
      <c r="CR85" s="45"/>
      <c r="CS85" s="45"/>
      <c r="CT85" s="45"/>
      <c r="CU85" s="45"/>
      <c r="CV85" s="10"/>
      <c r="CW85" s="8" t="s">
        <v>1972</v>
      </c>
      <c r="CX85" s="8"/>
      <c r="CY85" s="616" t="s">
        <v>624</v>
      </c>
      <c r="CZ85" s="617" t="s">
        <v>1009</v>
      </c>
      <c r="DA85" s="616"/>
      <c r="DB85" s="71" t="str">
        <f t="shared" si="21"/>
        <v>110</v>
      </c>
      <c r="DC85" s="77" t="s">
        <v>1991</v>
      </c>
      <c r="DD85" s="72">
        <f>IF(AV32=TRUE,1,0)</f>
        <v>0</v>
      </c>
      <c r="DE85" s="87"/>
      <c r="DF85" s="64"/>
      <c r="DG85" s="64"/>
      <c r="DH85" s="436" t="s">
        <v>2152</v>
      </c>
      <c r="DI85" s="436" t="s">
        <v>2176</v>
      </c>
      <c r="DJ85" s="626"/>
      <c r="DK85" s="75" t="str">
        <f t="shared" si="14"/>
        <v>93601Q0A</v>
      </c>
      <c r="DL85" s="78" t="s">
        <v>2186</v>
      </c>
      <c r="DM85" s="78" t="s">
        <v>2190</v>
      </c>
      <c r="DN85" s="627" t="str">
        <f>IF(AV62="0000","",AV62)</f>
        <v>1506</v>
      </c>
      <c r="DO85" s="30"/>
      <c r="DP85" s="18"/>
      <c r="DQ85" s="368"/>
      <c r="DR85" s="368"/>
      <c r="DS85" s="368"/>
      <c r="DT85" s="368"/>
      <c r="DU85" s="368"/>
      <c r="DV85" s="27"/>
      <c r="DX85" s="85"/>
      <c r="DY85" s="85"/>
    </row>
    <row r="86" spans="1:129" ht="19.5" customHeight="1">
      <c r="A86" s="111"/>
      <c r="B86" s="181"/>
      <c r="C86" s="1200"/>
      <c r="D86" s="1201"/>
      <c r="E86" s="1201"/>
      <c r="F86" s="1201"/>
      <c r="G86" s="1201"/>
      <c r="H86" s="1201"/>
      <c r="I86" s="1202"/>
      <c r="J86" s="2028"/>
      <c r="K86" s="1883"/>
      <c r="L86" s="1883"/>
      <c r="M86" s="1883"/>
      <c r="N86" s="1883"/>
      <c r="O86" s="1678" t="s">
        <v>5047</v>
      </c>
      <c r="P86" s="1633"/>
      <c r="Q86" s="1658"/>
      <c r="R86" s="1634"/>
      <c r="S86" s="1634"/>
      <c r="T86" s="1634"/>
      <c r="U86" s="1634"/>
      <c r="V86" s="1634"/>
      <c r="W86" s="1634"/>
      <c r="X86" s="1635"/>
      <c r="Y86" s="1632" t="s">
        <v>5051</v>
      </c>
      <c r="Z86" s="1633"/>
      <c r="AA86" s="1658"/>
      <c r="AB86" s="1634"/>
      <c r="AC86" s="1634"/>
      <c r="AD86" s="1634"/>
      <c r="AE86" s="1634"/>
      <c r="AF86" s="1634"/>
      <c r="AG86" s="1634"/>
      <c r="AH86" s="1635"/>
      <c r="AI86" s="1632" t="s">
        <v>5050</v>
      </c>
      <c r="AJ86" s="1633"/>
      <c r="AK86" s="1658"/>
      <c r="AL86" s="1634"/>
      <c r="AM86" s="1634"/>
      <c r="AN86" s="1634"/>
      <c r="AO86" s="1634"/>
      <c r="AP86" s="1634"/>
      <c r="AQ86" s="1634"/>
      <c r="AR86" s="1635"/>
      <c r="AS86" s="954"/>
      <c r="AT86" s="955"/>
      <c r="AU86" s="171"/>
      <c r="BV86" s="4"/>
      <c r="BW86" s="4"/>
      <c r="BX86" s="4"/>
      <c r="BZ86" s="369">
        <v>1626033</v>
      </c>
      <c r="CA86" s="369" t="s">
        <v>2248</v>
      </c>
      <c r="CB86" s="82" t="s">
        <v>2249</v>
      </c>
      <c r="CD86" s="108"/>
      <c r="CE86" s="108"/>
      <c r="CF86" s="108"/>
      <c r="CG86" s="27"/>
      <c r="CH86" s="49" t="s">
        <v>121</v>
      </c>
      <c r="CI86" s="49" t="s">
        <v>22</v>
      </c>
      <c r="CJ86" s="49">
        <v>40</v>
      </c>
      <c r="CK86" s="49" t="s">
        <v>216</v>
      </c>
      <c r="CL86" s="49" t="s">
        <v>451</v>
      </c>
      <c r="CM86" s="49"/>
      <c r="CN86" s="49"/>
      <c r="CO86" s="50" t="s">
        <v>120</v>
      </c>
      <c r="CP86" s="51" t="str">
        <f>ASC(SUBSTITUTE(SUBSTITUTE(SUBSTITUTE(SUBSTITUTE(記入シート1!I117,"ヴ","ウﾞ"),"・",""),"　","")," ",""))&amp;" "&amp;ASC(SUBSTITUTE(SUBSTITUTE(SUBSTITUTE(SUBSTITUTE(記入シート1!Q117,"ヴ","ウﾞ"),"・",""),"　","")," ",""))</f>
        <v xml:space="preserve"> </v>
      </c>
      <c r="CQ86" s="2"/>
      <c r="CR86" s="45"/>
      <c r="CS86" s="45"/>
      <c r="CT86" s="45"/>
      <c r="CU86" s="45"/>
      <c r="CV86" s="10"/>
      <c r="CW86" s="8" t="s">
        <v>1974</v>
      </c>
      <c r="CX86" s="8"/>
      <c r="CY86" s="616" t="s">
        <v>624</v>
      </c>
      <c r="CZ86" s="617" t="s">
        <v>1009</v>
      </c>
      <c r="DA86" s="616"/>
      <c r="DB86" s="71" t="str">
        <f t="shared" si="21"/>
        <v>111</v>
      </c>
      <c r="DC86" s="77" t="s">
        <v>1992</v>
      </c>
      <c r="DD86" s="72">
        <f>IF(AV33=TRUE,1,0)</f>
        <v>0</v>
      </c>
      <c r="DE86" s="87"/>
      <c r="DF86" s="64"/>
      <c r="DG86" s="64"/>
      <c r="DH86" s="436" t="s">
        <v>2152</v>
      </c>
      <c r="DI86" s="436" t="s">
        <v>2177</v>
      </c>
      <c r="DJ86" s="436" t="s">
        <v>3350</v>
      </c>
      <c r="DK86" s="75" t="str">
        <f t="shared" si="14"/>
        <v>93601Q0B</v>
      </c>
      <c r="DL86" s="78" t="s">
        <v>2186</v>
      </c>
      <c r="DM86" s="78" t="s">
        <v>2191</v>
      </c>
      <c r="DN86" s="627" t="str">
        <f>IF(AV63=1,"0",IF(AV63=2,"1",""))</f>
        <v/>
      </c>
      <c r="DO86" s="18"/>
      <c r="DP86" s="18"/>
      <c r="DQ86" s="368"/>
      <c r="DR86" s="368"/>
      <c r="DS86" s="368"/>
      <c r="DT86" s="368"/>
      <c r="DU86" s="368"/>
      <c r="DV86" s="27"/>
      <c r="DX86" s="85"/>
      <c r="DY86" s="85"/>
    </row>
    <row r="87" spans="1:129" ht="19.5" customHeight="1">
      <c r="A87" s="354"/>
      <c r="B87" s="181"/>
      <c r="C87" s="1242"/>
      <c r="D87" s="1243"/>
      <c r="E87" s="1243"/>
      <c r="F87" s="1243"/>
      <c r="G87" s="1243"/>
      <c r="H87" s="1243"/>
      <c r="I87" s="1244"/>
      <c r="J87" s="2901" t="s">
        <v>5042</v>
      </c>
      <c r="K87" s="2902"/>
      <c r="L87" s="2902"/>
      <c r="M87" s="2902"/>
      <c r="N87" s="2903"/>
      <c r="O87" s="958"/>
      <c r="P87" s="958"/>
      <c r="Q87" s="2846" t="s">
        <v>4348</v>
      </c>
      <c r="R87" s="2846"/>
      <c r="S87" s="2846"/>
      <c r="T87" s="958"/>
      <c r="U87" s="958"/>
      <c r="V87" s="2911" t="s">
        <v>3594</v>
      </c>
      <c r="W87" s="2911"/>
      <c r="X87" s="2912"/>
      <c r="Y87" s="1045"/>
      <c r="Z87" s="1045"/>
      <c r="AA87" s="1045"/>
      <c r="AB87" s="1045"/>
      <c r="AC87" s="1045"/>
      <c r="AD87" s="1045"/>
      <c r="AE87" s="1045"/>
      <c r="AF87" s="1045"/>
      <c r="AG87" s="1048"/>
      <c r="AH87" s="1048"/>
      <c r="AI87" s="1048"/>
      <c r="AJ87" s="1048"/>
      <c r="AK87" s="1048"/>
      <c r="AL87" s="946"/>
      <c r="AM87" s="946"/>
      <c r="AN87" s="946"/>
      <c r="AO87" s="946"/>
      <c r="AP87" s="946"/>
      <c r="AQ87" s="946"/>
      <c r="AR87" s="946"/>
      <c r="AS87" s="1045"/>
      <c r="AT87" s="1047"/>
      <c r="AU87" s="171"/>
      <c r="AV87" s="151">
        <v>1</v>
      </c>
      <c r="BV87" s="4"/>
      <c r="BW87" s="4"/>
      <c r="BX87" s="4"/>
      <c r="BZ87" s="369">
        <v>1626035</v>
      </c>
      <c r="CA87" s="369" t="s">
        <v>2250</v>
      </c>
      <c r="CB87" s="82" t="s">
        <v>2251</v>
      </c>
      <c r="CD87" s="108"/>
      <c r="CE87" s="108"/>
      <c r="CF87" s="108"/>
      <c r="CG87" s="27"/>
      <c r="CH87" s="49" t="s">
        <v>452</v>
      </c>
      <c r="CI87" s="49" t="s">
        <v>21</v>
      </c>
      <c r="CJ87" s="49">
        <v>40</v>
      </c>
      <c r="CK87" s="49" t="s">
        <v>216</v>
      </c>
      <c r="CL87" s="49" t="s">
        <v>451</v>
      </c>
      <c r="CM87" s="49"/>
      <c r="CN87" s="49"/>
      <c r="CO87" s="50" t="s">
        <v>122</v>
      </c>
      <c r="CP87" s="51" t="str">
        <f>T(SUBSTITUTE(SUBSTITUTE(記入シート1!I118,"　","")," ",""))&amp;"　"&amp;T(SUBSTITUTE(SUBSTITUTE(記入シート1!Q118,"　","")," ",""))</f>
        <v>　</v>
      </c>
      <c r="CQ87" s="2"/>
      <c r="CR87" s="45"/>
      <c r="CS87" s="45"/>
      <c r="CT87" s="45"/>
      <c r="CU87" s="45"/>
      <c r="CV87" s="10"/>
      <c r="CW87" s="618" t="s">
        <v>2151</v>
      </c>
      <c r="CX87" s="618"/>
      <c r="CY87" s="616" t="s">
        <v>736</v>
      </c>
      <c r="CZ87" s="617" t="s">
        <v>1112</v>
      </c>
      <c r="DA87" s="616"/>
      <c r="DB87" s="71" t="str">
        <f t="shared" si="21"/>
        <v>931</v>
      </c>
      <c r="DC87" s="619" t="s">
        <v>2160</v>
      </c>
      <c r="DD87" s="72">
        <f>IF(AV45=TRUE,1,0)</f>
        <v>0</v>
      </c>
      <c r="DE87" s="110"/>
      <c r="DF87" s="64"/>
      <c r="DG87" s="64"/>
      <c r="DH87" s="436" t="s">
        <v>2152</v>
      </c>
      <c r="DI87" s="436" t="s">
        <v>2178</v>
      </c>
      <c r="DJ87" s="626"/>
      <c r="DK87" s="75" t="str">
        <f t="shared" si="14"/>
        <v>93601Q0C</v>
      </c>
      <c r="DL87" s="78" t="s">
        <v>2186</v>
      </c>
      <c r="DM87" s="78" t="s">
        <v>2192</v>
      </c>
      <c r="DN87" s="627" t="str">
        <f>ASC(記入シート1!I43)</f>
        <v/>
      </c>
      <c r="DO87" s="18"/>
      <c r="DV87" s="27"/>
      <c r="DX87" s="85"/>
      <c r="DY87" s="85"/>
    </row>
    <row r="88" spans="1:129" ht="19.5" hidden="1" customHeight="1">
      <c r="A88" s="354" t="s">
        <v>1234</v>
      </c>
      <c r="B88" s="181"/>
      <c r="C88" s="1242" t="s">
        <v>3593</v>
      </c>
      <c r="D88" s="1243"/>
      <c r="E88" s="1243"/>
      <c r="F88" s="1243"/>
      <c r="G88" s="1243"/>
      <c r="H88" s="1243"/>
      <c r="I88" s="1243"/>
      <c r="J88" s="1243"/>
      <c r="K88" s="1243"/>
      <c r="L88" s="1243"/>
      <c r="M88" s="1244"/>
      <c r="N88" s="1281" t="s">
        <v>3594</v>
      </c>
      <c r="O88" s="1243"/>
      <c r="P88" s="1243"/>
      <c r="Q88" s="1244"/>
      <c r="R88" s="1281" t="s">
        <v>3595</v>
      </c>
      <c r="S88" s="1243"/>
      <c r="T88" s="1243"/>
      <c r="U88" s="1243"/>
      <c r="V88" s="1243"/>
      <c r="W88" s="1243"/>
      <c r="X88" s="1243"/>
      <c r="Y88" s="1243"/>
      <c r="Z88" s="1243"/>
      <c r="AA88" s="1243"/>
      <c r="AB88" s="1243"/>
      <c r="AC88" s="1243"/>
      <c r="AD88" s="1243"/>
      <c r="AE88" s="1243"/>
      <c r="AF88" s="1243"/>
      <c r="AG88" s="1243"/>
      <c r="AH88" s="1243"/>
      <c r="AI88" s="1243"/>
      <c r="AJ88" s="1243"/>
      <c r="AK88" s="1243"/>
      <c r="AL88" s="1243"/>
      <c r="AM88" s="1243"/>
      <c r="AN88" s="1243"/>
      <c r="AO88" s="1243"/>
      <c r="AP88" s="1243"/>
      <c r="AQ88" s="1243"/>
      <c r="AR88" s="1243"/>
      <c r="AS88" s="1243"/>
      <c r="AT88" s="2018"/>
      <c r="AU88" s="171"/>
      <c r="AW88" s="499" t="str">
        <f>IF(AND(AV15=TRUE,AV28=TRUE),"TRUE","FALSE")</f>
        <v>FALSE</v>
      </c>
      <c r="AX88" s="499" t="s">
        <v>5522</v>
      </c>
      <c r="BV88" s="4"/>
      <c r="BW88" s="4"/>
      <c r="BX88" s="4"/>
      <c r="BZ88" s="369">
        <v>1300134</v>
      </c>
      <c r="CA88" s="369" t="s">
        <v>2252</v>
      </c>
      <c r="CB88" s="82" t="s">
        <v>2253</v>
      </c>
      <c r="CD88" s="108"/>
      <c r="CE88" s="108"/>
      <c r="CF88" s="108"/>
      <c r="CG88" s="27"/>
      <c r="CH88" s="49" t="s">
        <v>462</v>
      </c>
      <c r="CI88" s="49" t="s">
        <v>21</v>
      </c>
      <c r="CJ88" s="49">
        <v>40</v>
      </c>
      <c r="CK88" s="49" t="s">
        <v>432</v>
      </c>
      <c r="CL88" s="49" t="s">
        <v>432</v>
      </c>
      <c r="CM88" s="49"/>
      <c r="CN88" s="49"/>
      <c r="CO88" s="50" t="s">
        <v>117</v>
      </c>
      <c r="CP88" s="51" t="str">
        <f>T(記入シート1!AE117)</f>
        <v/>
      </c>
      <c r="CQ88" s="2"/>
      <c r="CR88" s="45"/>
      <c r="CS88" s="45"/>
      <c r="CT88" s="45"/>
      <c r="CU88" s="45"/>
      <c r="CV88" s="10"/>
      <c r="CW88" s="618" t="s">
        <v>2159</v>
      </c>
      <c r="CX88" s="618"/>
      <c r="CY88" s="616"/>
      <c r="CZ88" s="617"/>
      <c r="DA88" s="616"/>
      <c r="DB88" s="71" t="str">
        <f t="shared" si="21"/>
        <v>931</v>
      </c>
      <c r="DC88" s="619" t="s">
        <v>2161</v>
      </c>
      <c r="DD88" s="623" t="str">
        <f>""</f>
        <v/>
      </c>
      <c r="DE88" s="110"/>
      <c r="DF88" s="64"/>
      <c r="DG88" s="64"/>
      <c r="DH88" s="436" t="s">
        <v>2152</v>
      </c>
      <c r="DI88" s="436" t="s">
        <v>3238</v>
      </c>
      <c r="DJ88" s="626"/>
      <c r="DK88" s="75" t="str">
        <f t="shared" si="14"/>
        <v>93601Q0D</v>
      </c>
      <c r="DL88" s="78" t="s">
        <v>2186</v>
      </c>
      <c r="DM88" s="78" t="s">
        <v>3351</v>
      </c>
      <c r="DN88" s="627" t="str">
        <f>T(記入シート1!I66)</f>
        <v/>
      </c>
      <c r="DO88" s="18"/>
      <c r="DV88" s="27"/>
      <c r="DX88" s="85"/>
      <c r="DY88" s="85"/>
    </row>
    <row r="89" spans="1:129" ht="19.5" customHeight="1" thickBot="1">
      <c r="A89" s="354"/>
      <c r="B89" s="181"/>
      <c r="C89" s="1203" t="s">
        <v>5520</v>
      </c>
      <c r="D89" s="1204"/>
      <c r="E89" s="1204"/>
      <c r="F89" s="1204"/>
      <c r="G89" s="1204"/>
      <c r="H89" s="1204"/>
      <c r="I89" s="1205"/>
      <c r="J89" s="1042"/>
      <c r="K89" s="1043"/>
      <c r="L89" s="2950" t="s">
        <v>4348</v>
      </c>
      <c r="M89" s="2950"/>
      <c r="N89" s="2951"/>
      <c r="O89" s="2952" t="s">
        <v>5521</v>
      </c>
      <c r="P89" s="2953"/>
      <c r="Q89" s="2953"/>
      <c r="R89" s="2953"/>
      <c r="S89" s="2953"/>
      <c r="T89" s="2953"/>
      <c r="U89" s="2953"/>
      <c r="V89" s="2953"/>
      <c r="W89" s="2953"/>
      <c r="X89" s="2953"/>
      <c r="Y89" s="2953"/>
      <c r="Z89" s="2953"/>
      <c r="AA89" s="2953"/>
      <c r="AB89" s="2953"/>
      <c r="AC89" s="2953"/>
      <c r="AD89" s="2953"/>
      <c r="AE89" s="2953"/>
      <c r="AF89" s="2953"/>
      <c r="AG89" s="2953"/>
      <c r="AH89" s="2953"/>
      <c r="AI89" s="2953"/>
      <c r="AJ89" s="2953"/>
      <c r="AK89" s="2953"/>
      <c r="AL89" s="2953"/>
      <c r="AM89" s="2953"/>
      <c r="AN89" s="2953"/>
      <c r="AO89" s="2953"/>
      <c r="AP89" s="2953"/>
      <c r="AQ89" s="2953"/>
      <c r="AR89" s="2953"/>
      <c r="AS89" s="2953"/>
      <c r="AT89" s="2954"/>
      <c r="AU89" s="171"/>
      <c r="AV89" s="151" t="b">
        <v>0</v>
      </c>
      <c r="AW89" s="251" t="s">
        <v>550</v>
      </c>
      <c r="AX89" s="630">
        <v>0</v>
      </c>
      <c r="AY89" s="630">
        <v>0</v>
      </c>
      <c r="AZ89" s="253"/>
      <c r="BA89" s="10" t="s">
        <v>643</v>
      </c>
      <c r="BB89" s="243"/>
      <c r="BC89" s="243"/>
      <c r="BD89" s="13"/>
      <c r="BE89" s="13"/>
      <c r="BF89" s="244"/>
      <c r="BG89" s="245"/>
      <c r="BH89" s="246"/>
      <c r="BI89" s="247"/>
      <c r="BJ89" s="245"/>
      <c r="BK89" s="13"/>
      <c r="BL89" s="222"/>
      <c r="BM89" s="222"/>
      <c r="BN89" s="248"/>
      <c r="BO89" s="248"/>
      <c r="BP89" s="222"/>
      <c r="BR89" s="13"/>
      <c r="BV89" s="4"/>
      <c r="BW89" s="4"/>
      <c r="BX89" s="4"/>
      <c r="BZ89" s="369">
        <v>1301064</v>
      </c>
      <c r="CA89" s="369" t="s">
        <v>2254</v>
      </c>
      <c r="CB89" s="82" t="s">
        <v>2255</v>
      </c>
      <c r="CD89" s="108"/>
      <c r="CE89" s="108"/>
      <c r="CF89" s="108"/>
      <c r="CG89" s="27"/>
      <c r="CH89" s="49" t="s">
        <v>116</v>
      </c>
      <c r="CI89" s="49" t="s">
        <v>22</v>
      </c>
      <c r="CJ89" s="49">
        <v>15</v>
      </c>
      <c r="CK89" s="49" t="s">
        <v>216</v>
      </c>
      <c r="CL89" s="49" t="s">
        <v>90</v>
      </c>
      <c r="CM89" s="62"/>
      <c r="CN89" s="62"/>
      <c r="CO89" s="50" t="s">
        <v>115</v>
      </c>
      <c r="CP89" s="51" t="str">
        <f>ASC(記入シート1!AE118)&amp;"-"&amp;ASC(記入シート1!AK118)&amp;"-"&amp;ASC(記入シート1!AP118)</f>
        <v>--</v>
      </c>
      <c r="CQ89" s="2"/>
      <c r="CR89" s="45"/>
      <c r="CS89" s="45"/>
      <c r="CT89" s="45"/>
      <c r="CU89" s="45"/>
      <c r="CV89" s="10"/>
      <c r="CW89" s="967" t="s">
        <v>3809</v>
      </c>
      <c r="CX89" s="618"/>
      <c r="CY89" s="616" t="s">
        <v>736</v>
      </c>
      <c r="CZ89" s="617" t="s">
        <v>1112</v>
      </c>
      <c r="DA89" s="616"/>
      <c r="DB89" s="71" t="str">
        <f t="shared" si="21"/>
        <v>932</v>
      </c>
      <c r="DC89" s="908" t="s">
        <v>2162</v>
      </c>
      <c r="DD89" s="1101">
        <f>CU10</f>
        <v>0</v>
      </c>
      <c r="DE89" s="110"/>
      <c r="DF89" s="64"/>
      <c r="DG89" s="64"/>
      <c r="DH89" s="436" t="s">
        <v>2152</v>
      </c>
      <c r="DI89" s="436" t="s">
        <v>3239</v>
      </c>
      <c r="DJ89" s="436" t="s">
        <v>3348</v>
      </c>
      <c r="DK89" s="75" t="str">
        <f t="shared" si="14"/>
        <v>93601Q0E</v>
      </c>
      <c r="DL89" s="78" t="s">
        <v>2186</v>
      </c>
      <c r="DM89" s="78" t="s">
        <v>3352</v>
      </c>
      <c r="DN89" s="692" t="str">
        <f>""</f>
        <v/>
      </c>
      <c r="DO89" s="18"/>
      <c r="DV89" s="27"/>
      <c r="DX89" s="85"/>
      <c r="DY89" s="85"/>
    </row>
    <row r="90" spans="1:129" ht="19.5" hidden="1" customHeight="1" thickBot="1">
      <c r="A90" s="354" t="s">
        <v>1234</v>
      </c>
      <c r="B90" s="181"/>
      <c r="C90" s="1036"/>
      <c r="D90" s="1037"/>
      <c r="E90" s="1037"/>
      <c r="F90" s="1037"/>
      <c r="G90" s="1037"/>
      <c r="H90" s="1037"/>
      <c r="I90" s="1037"/>
      <c r="J90" s="1037"/>
      <c r="K90" s="1037"/>
      <c r="L90" s="1037"/>
      <c r="M90" s="1037"/>
      <c r="N90" s="1038"/>
      <c r="O90" s="1038"/>
      <c r="P90" s="1038"/>
      <c r="Q90" s="1038"/>
      <c r="R90" s="1039"/>
      <c r="S90" s="1040"/>
      <c r="T90" s="1040"/>
      <c r="U90" s="1040"/>
      <c r="V90" s="1040"/>
      <c r="W90" s="1040"/>
      <c r="X90" s="1040"/>
      <c r="Y90" s="1040"/>
      <c r="Z90" s="1040"/>
      <c r="AA90" s="1040"/>
      <c r="AB90" s="1040"/>
      <c r="AC90" s="1040"/>
      <c r="AD90" s="1040"/>
      <c r="AE90" s="1040"/>
      <c r="AF90" s="1040"/>
      <c r="AG90" s="1040"/>
      <c r="AH90" s="1040"/>
      <c r="AI90" s="1040"/>
      <c r="AJ90" s="1040"/>
      <c r="AK90" s="1040"/>
      <c r="AL90" s="1040"/>
      <c r="AM90" s="1040"/>
      <c r="AN90" s="1040"/>
      <c r="AO90" s="1040"/>
      <c r="AP90" s="1040"/>
      <c r="AQ90" s="1040"/>
      <c r="AR90" s="1040"/>
      <c r="AS90" s="1040"/>
      <c r="AT90" s="1041"/>
      <c r="AU90" s="171"/>
      <c r="AW90" s="251"/>
      <c r="AX90" s="252"/>
      <c r="AY90" s="252"/>
      <c r="AZ90" s="253"/>
      <c r="BA90" s="10"/>
      <c r="BB90" s="243"/>
      <c r="BC90" s="243"/>
      <c r="BD90" s="13"/>
      <c r="BE90" s="13"/>
      <c r="BF90" s="244"/>
      <c r="BG90" s="245"/>
      <c r="BH90" s="246"/>
      <c r="BI90" s="247"/>
      <c r="BJ90" s="245"/>
      <c r="BK90" s="13"/>
      <c r="BL90" s="222"/>
      <c r="BM90" s="222"/>
      <c r="BN90" s="248"/>
      <c r="BO90" s="248"/>
      <c r="BP90" s="222"/>
      <c r="BR90" s="13"/>
      <c r="BV90" s="4"/>
      <c r="BW90" s="4"/>
      <c r="BX90" s="4"/>
      <c r="BZ90" s="369">
        <v>1602184</v>
      </c>
      <c r="CA90" s="369" t="s">
        <v>2256</v>
      </c>
      <c r="CB90" s="82" t="s">
        <v>2257</v>
      </c>
      <c r="CD90" s="108"/>
      <c r="CE90" s="108"/>
      <c r="CF90" s="108"/>
      <c r="CG90" s="27"/>
      <c r="CH90" s="49" t="s">
        <v>463</v>
      </c>
      <c r="CI90" s="49" t="s">
        <v>22</v>
      </c>
      <c r="CJ90" s="49">
        <v>128</v>
      </c>
      <c r="CK90" s="49" t="s">
        <v>216</v>
      </c>
      <c r="CL90" s="49" t="s">
        <v>90</v>
      </c>
      <c r="CM90" s="49"/>
      <c r="CN90" s="49"/>
      <c r="CO90" s="50" t="s">
        <v>113</v>
      </c>
      <c r="CP90" s="51" t="str">
        <f>ASC(記入シート1!AE120)</f>
        <v/>
      </c>
      <c r="CQ90" s="2"/>
      <c r="CR90" s="45"/>
      <c r="CS90" s="45"/>
      <c r="CT90" s="45"/>
      <c r="CU90" s="45"/>
      <c r="CV90" s="10"/>
      <c r="CW90" s="618" t="s">
        <v>938</v>
      </c>
      <c r="CX90" s="618"/>
      <c r="CY90" s="616" t="s">
        <v>736</v>
      </c>
      <c r="CZ90" s="617" t="s">
        <v>1112</v>
      </c>
      <c r="DA90" s="616"/>
      <c r="DB90" s="71" t="str">
        <f t="shared" si="21"/>
        <v>935</v>
      </c>
      <c r="DC90" s="619" t="s">
        <v>2163</v>
      </c>
      <c r="DD90" s="72">
        <f>IF(AV47=TRUE,1,0)</f>
        <v>0</v>
      </c>
      <c r="DE90" s="110"/>
      <c r="DF90" s="64"/>
      <c r="DG90" s="64"/>
      <c r="DH90" s="436" t="s">
        <v>2152</v>
      </c>
      <c r="DI90" s="436" t="s">
        <v>3240</v>
      </c>
      <c r="DJ90" s="436" t="s">
        <v>3349</v>
      </c>
      <c r="DK90" s="75" t="str">
        <f t="shared" si="14"/>
        <v>93601Q0F</v>
      </c>
      <c r="DL90" s="78" t="s">
        <v>2186</v>
      </c>
      <c r="DM90" s="78" t="s">
        <v>3353</v>
      </c>
      <c r="DN90" s="627" t="str">
        <f>IF(OR(CP26&gt;=10000000000,記入シート1!I43&gt;=100),"1","2")</f>
        <v>2</v>
      </c>
      <c r="DV90" s="27"/>
      <c r="DX90" s="85"/>
      <c r="DY90" s="85"/>
    </row>
    <row r="91" spans="1:129" ht="24" hidden="1" customHeight="1">
      <c r="A91" s="354" t="s">
        <v>3574</v>
      </c>
      <c r="B91" s="181"/>
      <c r="C91" s="1984" t="s">
        <v>3832</v>
      </c>
      <c r="D91" s="1985"/>
      <c r="E91" s="1985"/>
      <c r="F91" s="1985"/>
      <c r="G91" s="1985"/>
      <c r="H91" s="1985"/>
      <c r="I91" s="1985"/>
      <c r="J91" s="1985"/>
      <c r="K91" s="1985"/>
      <c r="L91" s="1985"/>
      <c r="M91" s="1985"/>
      <c r="N91" s="1988"/>
      <c r="O91" s="1988"/>
      <c r="P91" s="1988"/>
      <c r="Q91" s="1988"/>
      <c r="R91" s="1990" t="s">
        <v>3833</v>
      </c>
      <c r="S91" s="1990"/>
      <c r="T91" s="1990"/>
      <c r="U91" s="1990"/>
      <c r="V91" s="1990"/>
      <c r="W91" s="1990"/>
      <c r="X91" s="1990"/>
      <c r="Y91" s="1990"/>
      <c r="Z91" s="1990"/>
      <c r="AA91" s="1990"/>
      <c r="AB91" s="1990"/>
      <c r="AC91" s="1990"/>
      <c r="AD91" s="1990"/>
      <c r="AE91" s="1990"/>
      <c r="AF91" s="1990"/>
      <c r="AG91" s="1990"/>
      <c r="AH91" s="1990"/>
      <c r="AI91" s="1990"/>
      <c r="AJ91" s="1990"/>
      <c r="AK91" s="1990"/>
      <c r="AL91" s="1990"/>
      <c r="AM91" s="1990"/>
      <c r="AN91" s="1990"/>
      <c r="AO91" s="1990"/>
      <c r="AP91" s="1990"/>
      <c r="AQ91" s="1990"/>
      <c r="AR91" s="1990"/>
      <c r="AS91" s="1990"/>
      <c r="AT91" s="1991"/>
      <c r="AU91" s="171"/>
      <c r="AW91" s="251"/>
      <c r="AX91" s="252"/>
      <c r="AY91" s="252"/>
      <c r="AZ91" s="253"/>
      <c r="BA91" s="10"/>
      <c r="BB91" s="243"/>
      <c r="BC91" s="243"/>
      <c r="BD91" s="13"/>
      <c r="BE91" s="13"/>
      <c r="BF91" s="244"/>
      <c r="BG91" s="245"/>
      <c r="BH91" s="246"/>
      <c r="BI91" s="247"/>
      <c r="BJ91" s="245"/>
      <c r="BK91" s="13"/>
      <c r="BL91" s="222"/>
      <c r="BM91" s="222"/>
      <c r="BN91" s="248"/>
      <c r="BO91" s="248"/>
      <c r="BP91" s="222"/>
      <c r="BR91" s="13"/>
      <c r="BV91" s="4"/>
      <c r="BW91" s="4"/>
      <c r="BX91" s="4"/>
      <c r="BZ91" s="369">
        <v>1202896</v>
      </c>
      <c r="CA91" s="369" t="s">
        <v>2258</v>
      </c>
      <c r="CB91" s="82" t="s">
        <v>2259</v>
      </c>
      <c r="CD91" s="108"/>
      <c r="CE91" s="108"/>
      <c r="CF91" s="108"/>
      <c r="CG91" s="27"/>
      <c r="CH91" s="470" t="s">
        <v>114</v>
      </c>
      <c r="CI91" s="470" t="s">
        <v>22</v>
      </c>
      <c r="CJ91" s="470">
        <v>15</v>
      </c>
      <c r="CK91" s="470" t="s">
        <v>216</v>
      </c>
      <c r="CL91" s="470" t="s">
        <v>20</v>
      </c>
      <c r="CM91" s="470"/>
      <c r="CN91" s="470"/>
      <c r="CO91" s="50" t="s">
        <v>544</v>
      </c>
      <c r="CP91" s="51" t="str">
        <f>IF(OR(記入シート1!AE119="",記入シート1!AK119="",記入シート1!AP119=""),"00-0000-0000",ASC(記入シート1!AE119)&amp;"-"&amp;ASC(記入シート1!AK119)&amp;"-"&amp;ASC(記入シート1!AP119))</f>
        <v>00-0000-0000</v>
      </c>
      <c r="CQ91" s="2"/>
      <c r="CR91" s="45"/>
      <c r="CS91" s="45"/>
      <c r="CT91" s="45"/>
      <c r="CU91" s="45"/>
      <c r="CV91" s="10"/>
      <c r="CW91" s="618" t="s">
        <v>2152</v>
      </c>
      <c r="CX91" s="618"/>
      <c r="CY91" s="616" t="s">
        <v>736</v>
      </c>
      <c r="CZ91" s="617" t="s">
        <v>1112</v>
      </c>
      <c r="DA91" s="616"/>
      <c r="DB91" s="71" t="str">
        <f t="shared" si="21"/>
        <v>936</v>
      </c>
      <c r="DC91" s="619" t="s">
        <v>2164</v>
      </c>
      <c r="DD91" s="72">
        <f>IF(AV60=TRUE,1,0)</f>
        <v>0</v>
      </c>
      <c r="DE91" s="110"/>
      <c r="DF91" s="64"/>
      <c r="DG91" s="64"/>
      <c r="DH91" s="436" t="s">
        <v>2152</v>
      </c>
      <c r="DI91" s="436" t="s">
        <v>3241</v>
      </c>
      <c r="DJ91" s="436" t="s">
        <v>3262</v>
      </c>
      <c r="DK91" s="75" t="str">
        <f t="shared" si="14"/>
        <v>93601Q0G</v>
      </c>
      <c r="DL91" s="78" t="s">
        <v>2186</v>
      </c>
      <c r="DM91" s="78" t="s">
        <v>3354</v>
      </c>
      <c r="DN91" s="627" t="str">
        <f>ASC(AY61)</f>
        <v>0</v>
      </c>
      <c r="DV91" s="27"/>
      <c r="DX91" s="85"/>
      <c r="DY91" s="85"/>
    </row>
    <row r="92" spans="1:129" ht="24" hidden="1" customHeight="1" thickBot="1">
      <c r="A92" s="354" t="s">
        <v>3574</v>
      </c>
      <c r="B92" s="181"/>
      <c r="C92" s="1986"/>
      <c r="D92" s="1987"/>
      <c r="E92" s="1987"/>
      <c r="F92" s="1987"/>
      <c r="G92" s="1987"/>
      <c r="H92" s="1987"/>
      <c r="I92" s="1987"/>
      <c r="J92" s="1987"/>
      <c r="K92" s="1987"/>
      <c r="L92" s="1987"/>
      <c r="M92" s="1987"/>
      <c r="N92" s="1989"/>
      <c r="O92" s="1989"/>
      <c r="P92" s="1989"/>
      <c r="Q92" s="1989"/>
      <c r="R92" s="1992"/>
      <c r="S92" s="1992"/>
      <c r="T92" s="1992"/>
      <c r="U92" s="1992"/>
      <c r="V92" s="1992"/>
      <c r="W92" s="1992"/>
      <c r="X92" s="1992"/>
      <c r="Y92" s="1992"/>
      <c r="Z92" s="1992"/>
      <c r="AA92" s="1992"/>
      <c r="AB92" s="1992"/>
      <c r="AC92" s="1992"/>
      <c r="AD92" s="1992"/>
      <c r="AE92" s="1992"/>
      <c r="AF92" s="1992"/>
      <c r="AG92" s="1992"/>
      <c r="AH92" s="1992"/>
      <c r="AI92" s="1992"/>
      <c r="AJ92" s="1992"/>
      <c r="AK92" s="1992"/>
      <c r="AL92" s="1992"/>
      <c r="AM92" s="1992"/>
      <c r="AN92" s="1992"/>
      <c r="AO92" s="1992"/>
      <c r="AP92" s="1992"/>
      <c r="AQ92" s="1992"/>
      <c r="AR92" s="1992"/>
      <c r="AS92" s="1992"/>
      <c r="AT92" s="1993"/>
      <c r="AU92" s="171"/>
      <c r="AW92" s="251"/>
      <c r="AX92" s="252"/>
      <c r="AY92" s="252"/>
      <c r="AZ92" s="253"/>
      <c r="BA92" s="10"/>
      <c r="BB92" s="243"/>
      <c r="BC92" s="243"/>
      <c r="BD92" s="13"/>
      <c r="BE92" s="13"/>
      <c r="BF92" s="244"/>
      <c r="BG92" s="245"/>
      <c r="BH92" s="246"/>
      <c r="BI92" s="247"/>
      <c r="BJ92" s="245"/>
      <c r="BK92" s="13"/>
      <c r="BL92" s="222"/>
      <c r="BM92" s="222"/>
      <c r="BN92" s="248"/>
      <c r="BO92" s="248"/>
      <c r="BP92" s="222"/>
      <c r="BR92" s="13"/>
      <c r="BV92" s="4"/>
      <c r="BW92" s="4"/>
      <c r="BX92" s="4"/>
      <c r="BZ92" s="369" t="s">
        <v>3589</v>
      </c>
      <c r="CA92" s="369" t="s">
        <v>3590</v>
      </c>
      <c r="CB92" s="82" t="s">
        <v>3591</v>
      </c>
      <c r="CD92" s="108"/>
      <c r="CE92" s="108"/>
      <c r="CF92" s="108"/>
      <c r="CG92" s="27"/>
      <c r="CH92" s="49" t="s">
        <v>111</v>
      </c>
      <c r="CI92" s="49" t="s">
        <v>22</v>
      </c>
      <c r="CJ92" s="49">
        <v>40</v>
      </c>
      <c r="CK92" s="49" t="s">
        <v>216</v>
      </c>
      <c r="CL92" s="49" t="s">
        <v>90</v>
      </c>
      <c r="CM92" s="49"/>
      <c r="CN92" s="49"/>
      <c r="CO92" s="50" t="s">
        <v>110</v>
      </c>
      <c r="CP92" s="51" t="str">
        <f>ASC(SUBSTITUTE(SUBSTITUTE(記入シート1!I121,"ヴ","ウﾞ"),"・",""))</f>
        <v/>
      </c>
      <c r="CQ92" s="2"/>
      <c r="CR92" s="45"/>
      <c r="CS92" s="45"/>
      <c r="CT92" s="45"/>
      <c r="CU92" s="45"/>
      <c r="CV92" s="10"/>
      <c r="CW92" s="618" t="s">
        <v>2244</v>
      </c>
      <c r="CX92" s="618"/>
      <c r="CY92" s="616" t="s">
        <v>736</v>
      </c>
      <c r="CZ92" s="617" t="s">
        <v>1112</v>
      </c>
      <c r="DA92" s="616"/>
      <c r="DB92" s="71" t="str">
        <f t="shared" si="21"/>
        <v>937</v>
      </c>
      <c r="DC92" s="619" t="s">
        <v>2165</v>
      </c>
      <c r="DD92" s="72">
        <f>IF(AV64=TRUE,1,0)</f>
        <v>0</v>
      </c>
      <c r="DE92" s="110"/>
      <c r="DF92" s="64"/>
      <c r="DG92" s="64"/>
      <c r="DH92" s="436" t="s">
        <v>2244</v>
      </c>
      <c r="DI92" s="436" t="s">
        <v>2173</v>
      </c>
      <c r="DJ92" s="626"/>
      <c r="DK92" s="75" t="str">
        <f t="shared" si="14"/>
        <v>93701Q12</v>
      </c>
      <c r="DL92" s="78" t="s">
        <v>3357</v>
      </c>
      <c r="DM92" s="78" t="s">
        <v>3358</v>
      </c>
      <c r="DN92" s="627" t="str">
        <f>T(記入シート1!I67)</f>
        <v/>
      </c>
      <c r="DV92" s="27"/>
      <c r="DX92" s="85"/>
      <c r="DY92" s="85"/>
    </row>
    <row r="93" spans="1:129" ht="19.5" hidden="1" customHeight="1" thickBot="1">
      <c r="A93" s="354" t="s">
        <v>3574</v>
      </c>
      <c r="B93" s="283"/>
      <c r="C93" s="134"/>
      <c r="D93" s="178"/>
      <c r="E93" s="134"/>
      <c r="F93" s="134"/>
      <c r="G93" s="134"/>
      <c r="H93" s="134"/>
      <c r="I93" s="134"/>
      <c r="J93" s="134"/>
      <c r="K93" s="134"/>
      <c r="L93" s="155"/>
      <c r="M93" s="155"/>
      <c r="N93" s="155"/>
      <c r="O93" s="591"/>
      <c r="P93" s="185"/>
      <c r="Q93" s="156"/>
      <c r="R93" s="156"/>
      <c r="S93" s="156"/>
      <c r="T93" s="156"/>
      <c r="U93" s="156"/>
      <c r="V93" s="156"/>
      <c r="W93" s="156"/>
      <c r="X93" s="156"/>
      <c r="Y93" s="157"/>
      <c r="Z93" s="157"/>
      <c r="AA93" s="157"/>
      <c r="AB93" s="157"/>
      <c r="AC93" s="157"/>
      <c r="AD93" s="157"/>
      <c r="AE93" s="157"/>
      <c r="AF93" s="157"/>
      <c r="AG93" s="156"/>
      <c r="AH93" s="156"/>
      <c r="AI93" s="156"/>
      <c r="AJ93" s="156"/>
      <c r="AK93" s="184"/>
      <c r="AL93" s="184"/>
      <c r="AM93" s="158"/>
      <c r="AN93" s="158"/>
      <c r="AO93" s="184"/>
      <c r="AP93" s="184"/>
      <c r="AQ93" s="184"/>
      <c r="AR93" s="184"/>
      <c r="AS93" s="184"/>
      <c r="AT93" s="184"/>
      <c r="AU93" s="171"/>
      <c r="AW93" s="251"/>
      <c r="AX93" s="252"/>
      <c r="AY93" s="252"/>
      <c r="AZ93" s="253"/>
      <c r="BA93" s="10"/>
      <c r="BB93" s="243"/>
      <c r="BC93" s="243"/>
      <c r="BD93" s="13"/>
      <c r="BE93" s="13"/>
      <c r="BF93" s="244"/>
      <c r="BG93" s="245"/>
      <c r="BH93" s="246"/>
      <c r="BI93" s="247"/>
      <c r="BJ93" s="245"/>
      <c r="BK93" s="13"/>
      <c r="BL93" s="222"/>
      <c r="BM93" s="222"/>
      <c r="BN93" s="248"/>
      <c r="BO93" s="248"/>
      <c r="BP93" s="222"/>
      <c r="BR93" s="13"/>
      <c r="BV93" s="4"/>
      <c r="BW93" s="4"/>
      <c r="BX93" s="4"/>
      <c r="BZ93" s="369" t="s">
        <v>3599</v>
      </c>
      <c r="CA93" s="369" t="s">
        <v>3599</v>
      </c>
      <c r="CB93" s="82" t="s">
        <v>3600</v>
      </c>
      <c r="CD93" s="108"/>
      <c r="CE93" s="108"/>
      <c r="CF93" s="108"/>
      <c r="CG93" s="27"/>
      <c r="CH93" s="49" t="s">
        <v>464</v>
      </c>
      <c r="CI93" s="49" t="s">
        <v>21</v>
      </c>
      <c r="CJ93" s="49">
        <v>40</v>
      </c>
      <c r="CK93" s="49" t="s">
        <v>216</v>
      </c>
      <c r="CL93" s="49" t="s">
        <v>451</v>
      </c>
      <c r="CM93" s="49"/>
      <c r="CN93" s="49"/>
      <c r="CO93" s="50" t="s">
        <v>112</v>
      </c>
      <c r="CP93" s="51" t="str">
        <f>T(記入シート1!I122)</f>
        <v/>
      </c>
      <c r="CQ93" s="2"/>
      <c r="CR93" s="45"/>
      <c r="CS93" s="45"/>
      <c r="CT93" s="45"/>
      <c r="CU93" s="45"/>
      <c r="CV93" s="10"/>
      <c r="CW93" s="618" t="s">
        <v>2153</v>
      </c>
      <c r="CX93" s="618"/>
      <c r="CY93" s="616" t="s">
        <v>736</v>
      </c>
      <c r="CZ93" s="617" t="s">
        <v>1112</v>
      </c>
      <c r="DA93" s="616"/>
      <c r="DB93" s="71" t="str">
        <f t="shared" si="21"/>
        <v>938</v>
      </c>
      <c r="DC93" s="619" t="s">
        <v>2166</v>
      </c>
      <c r="DD93" s="72">
        <f>IF(AV65=TRUE,1,0)</f>
        <v>0</v>
      </c>
      <c r="DE93" s="110"/>
      <c r="DF93" s="64"/>
      <c r="DG93" s="64"/>
      <c r="DH93" s="436" t="s">
        <v>2244</v>
      </c>
      <c r="DI93" s="436" t="s">
        <v>3219</v>
      </c>
      <c r="DJ93" s="626"/>
      <c r="DK93" s="75" t="str">
        <f t="shared" si="14"/>
        <v>93701Q13</v>
      </c>
      <c r="DL93" s="78" t="s">
        <v>3357</v>
      </c>
      <c r="DM93" s="78" t="s">
        <v>3359</v>
      </c>
      <c r="DN93" s="627" t="str">
        <f>ASC(記入シート1!I43)</f>
        <v/>
      </c>
      <c r="DV93" s="27"/>
      <c r="DX93" s="85"/>
      <c r="DY93" s="85"/>
    </row>
    <row r="94" spans="1:129" ht="19.5" hidden="1" customHeight="1" thickTop="1">
      <c r="A94" s="354" t="s">
        <v>1234</v>
      </c>
      <c r="B94" s="181"/>
      <c r="C94" s="1994" t="s">
        <v>976</v>
      </c>
      <c r="D94" s="1995"/>
      <c r="E94" s="1995"/>
      <c r="F94" s="1995"/>
      <c r="G94" s="1995"/>
      <c r="H94" s="1995"/>
      <c r="I94" s="1996"/>
      <c r="J94" s="1998" t="s">
        <v>972</v>
      </c>
      <c r="K94" s="1998"/>
      <c r="L94" s="2000" t="s">
        <v>980</v>
      </c>
      <c r="M94" s="2001"/>
      <c r="N94" s="2001"/>
      <c r="O94" s="2001"/>
      <c r="P94" s="2002"/>
      <c r="Q94" s="2006" t="s">
        <v>951</v>
      </c>
      <c r="R94" s="2006"/>
      <c r="S94" s="2006"/>
      <c r="T94" s="2006"/>
      <c r="U94" s="2006"/>
      <c r="V94" s="2006"/>
      <c r="W94" s="2006"/>
      <c r="X94" s="2006"/>
      <c r="Y94" s="2007" t="s">
        <v>983</v>
      </c>
      <c r="Z94" s="2007"/>
      <c r="AA94" s="2007"/>
      <c r="AB94" s="2007"/>
      <c r="AC94" s="2007"/>
      <c r="AD94" s="2007"/>
      <c r="AE94" s="2007"/>
      <c r="AF94" s="2008"/>
      <c r="AG94" s="2009" t="s">
        <v>850</v>
      </c>
      <c r="AH94" s="2010"/>
      <c r="AI94" s="2010"/>
      <c r="AJ94" s="2010"/>
      <c r="AK94" s="2010"/>
      <c r="AL94" s="2010"/>
      <c r="AM94" s="2010"/>
      <c r="AN94" s="2010"/>
      <c r="AO94" s="2010"/>
      <c r="AP94" s="2010"/>
      <c r="AQ94" s="2010"/>
      <c r="AR94" s="2010"/>
      <c r="AS94" s="2010"/>
      <c r="AT94" s="2011"/>
      <c r="AU94" s="171"/>
      <c r="AW94" s="257">
        <f>IF(AV96=TRUE,AV96*1,0)</f>
        <v>0</v>
      </c>
      <c r="AX94" s="257" t="str">
        <f>IF(AV96=TRUE,"端末登録月額固定費単価","")</f>
        <v/>
      </c>
      <c r="AY94" s="257"/>
      <c r="AZ94" s="257">
        <f>IF(SUM(AW94:AW95)&gt;0,1,0)</f>
        <v>0</v>
      </c>
      <c r="BA94" s="258"/>
      <c r="BB94" s="259" t="str">
        <f>BB23</f>
        <v>15</v>
      </c>
      <c r="BC94" s="259" t="s">
        <v>970</v>
      </c>
      <c r="BD94" s="258">
        <f>ROW(AV96)</f>
        <v>96</v>
      </c>
      <c r="BE94" s="258"/>
      <c r="BF94" s="260" t="str">
        <f>"106"&amp;BC94&amp;6</f>
        <v>106106066</v>
      </c>
      <c r="BG94" s="261"/>
      <c r="BH94" s="262" t="str">
        <f>AX94&amp;"→"</f>
        <v>→</v>
      </c>
      <c r="BI94" s="263">
        <v>10601</v>
      </c>
      <c r="BJ94" s="264">
        <f>AW94</f>
        <v>0</v>
      </c>
      <c r="BK94" s="50">
        <f>AZ94</f>
        <v>0</v>
      </c>
      <c r="BL94" s="1979">
        <v>0</v>
      </c>
      <c r="BM94" s="1979">
        <v>0</v>
      </c>
      <c r="BN94" s="267">
        <v>0</v>
      </c>
      <c r="BO94" s="267">
        <v>0</v>
      </c>
      <c r="BP94" s="265" t="str">
        <f>IF($AW94=0,"",Q96)</f>
        <v/>
      </c>
      <c r="BR94" s="50">
        <v>106</v>
      </c>
      <c r="BV94" s="4"/>
      <c r="BW94" s="4"/>
      <c r="BX94" s="4"/>
      <c r="BZ94" s="369" t="s">
        <v>3601</v>
      </c>
      <c r="CA94" s="369" t="s">
        <v>3601</v>
      </c>
      <c r="CB94" s="82" t="s">
        <v>3602</v>
      </c>
      <c r="CD94" s="108"/>
      <c r="CE94" s="108"/>
      <c r="CF94" s="108"/>
      <c r="CG94" s="27"/>
      <c r="CH94" s="49" t="s">
        <v>107</v>
      </c>
      <c r="CI94" s="49" t="s">
        <v>21</v>
      </c>
      <c r="CJ94" s="49">
        <v>40</v>
      </c>
      <c r="CK94" s="49" t="s">
        <v>83</v>
      </c>
      <c r="CL94" s="49" t="s">
        <v>83</v>
      </c>
      <c r="CM94" s="49"/>
      <c r="CN94" s="49"/>
      <c r="CO94" s="50" t="s">
        <v>106</v>
      </c>
      <c r="CP94" s="51" t="str">
        <f>T(記入シート1!AE121)</f>
        <v/>
      </c>
      <c r="CQ94" s="2"/>
      <c r="CR94" s="45"/>
      <c r="CS94" s="45"/>
      <c r="CT94" s="45"/>
      <c r="CU94" s="45"/>
      <c r="CV94" s="10"/>
      <c r="CW94" s="618" t="s">
        <v>2154</v>
      </c>
      <c r="CX94" s="618"/>
      <c r="CY94" s="616" t="s">
        <v>736</v>
      </c>
      <c r="CZ94" s="617" t="s">
        <v>1112</v>
      </c>
      <c r="DA94" s="616"/>
      <c r="DB94" s="71" t="str">
        <f t="shared" si="21"/>
        <v>939</v>
      </c>
      <c r="DC94" s="619" t="s">
        <v>2167</v>
      </c>
      <c r="DD94" s="72">
        <f>IF(AV67=TRUE,1,0)</f>
        <v>0</v>
      </c>
      <c r="DE94" s="110"/>
      <c r="DF94" s="64"/>
      <c r="DG94" s="64"/>
      <c r="DH94" s="436" t="s">
        <v>2153</v>
      </c>
      <c r="DI94" s="436" t="s">
        <v>3220</v>
      </c>
      <c r="DJ94" s="626"/>
      <c r="DK94" s="75" t="str">
        <f t="shared" si="14"/>
        <v>93801Q22</v>
      </c>
      <c r="DL94" s="78" t="s">
        <v>3360</v>
      </c>
      <c r="DM94" s="78" t="s">
        <v>3361</v>
      </c>
      <c r="DN94" s="627" t="str">
        <f>ASC(AN65)</f>
        <v/>
      </c>
      <c r="DV94" s="27"/>
      <c r="DX94" s="85"/>
      <c r="DY94" s="85"/>
    </row>
    <row r="95" spans="1:129" ht="19.5" hidden="1" customHeight="1">
      <c r="A95" s="354" t="s">
        <v>1234</v>
      </c>
      <c r="B95" s="181"/>
      <c r="C95" s="1997"/>
      <c r="D95" s="1467"/>
      <c r="E95" s="1467"/>
      <c r="F95" s="1467"/>
      <c r="G95" s="1467"/>
      <c r="H95" s="1467"/>
      <c r="I95" s="1469"/>
      <c r="J95" s="1999"/>
      <c r="K95" s="1999"/>
      <c r="L95" s="2003"/>
      <c r="M95" s="2004"/>
      <c r="N95" s="2004"/>
      <c r="O95" s="2004"/>
      <c r="P95" s="2005"/>
      <c r="Q95" s="1980" t="s">
        <v>979</v>
      </c>
      <c r="R95" s="1980"/>
      <c r="S95" s="1980"/>
      <c r="T95" s="1980"/>
      <c r="U95" s="1981" t="s">
        <v>984</v>
      </c>
      <c r="V95" s="1981"/>
      <c r="W95" s="1981"/>
      <c r="X95" s="1981"/>
      <c r="Y95" s="1981" t="s">
        <v>985</v>
      </c>
      <c r="Z95" s="1981"/>
      <c r="AA95" s="1981"/>
      <c r="AB95" s="1981"/>
      <c r="AC95" s="1982" t="s">
        <v>986</v>
      </c>
      <c r="AD95" s="1982"/>
      <c r="AE95" s="1982"/>
      <c r="AF95" s="1983"/>
      <c r="AG95" s="2012"/>
      <c r="AH95" s="1797"/>
      <c r="AI95" s="1797"/>
      <c r="AJ95" s="1797"/>
      <c r="AK95" s="1797"/>
      <c r="AL95" s="1797"/>
      <c r="AM95" s="1797"/>
      <c r="AN95" s="1797"/>
      <c r="AO95" s="1797"/>
      <c r="AP95" s="1797"/>
      <c r="AQ95" s="1797"/>
      <c r="AR95" s="1797"/>
      <c r="AS95" s="1797"/>
      <c r="AT95" s="2013"/>
      <c r="AU95" s="171"/>
      <c r="AW95" s="257">
        <f>$AW$94</f>
        <v>0</v>
      </c>
      <c r="AX95" s="257" t="str">
        <f>IF(AV96=TRUE,"端末登録トランザクション費","")</f>
        <v/>
      </c>
      <c r="AY95" s="257"/>
      <c r="AZ95" s="257">
        <f>AZ94</f>
        <v>0</v>
      </c>
      <c r="BA95" s="258"/>
      <c r="BB95" s="259" t="str">
        <f>BB94</f>
        <v>15</v>
      </c>
      <c r="BC95" s="259" t="s">
        <v>971</v>
      </c>
      <c r="BD95" s="258">
        <f>ROW(AV96)</f>
        <v>96</v>
      </c>
      <c r="BE95" s="258"/>
      <c r="BF95" s="260" t="str">
        <f>"106"&amp;BC95&amp;7</f>
        <v>106106077</v>
      </c>
      <c r="BG95" s="261"/>
      <c r="BH95" s="268" t="str">
        <f>AX95&amp;"→"</f>
        <v>→</v>
      </c>
      <c r="BI95" s="263">
        <v>10601</v>
      </c>
      <c r="BJ95" s="261">
        <f>AW95</f>
        <v>0</v>
      </c>
      <c r="BK95" s="50">
        <f>AZ95</f>
        <v>0</v>
      </c>
      <c r="BL95" s="1979"/>
      <c r="BM95" s="1979"/>
      <c r="BN95" s="267">
        <v>0</v>
      </c>
      <c r="BO95" s="267">
        <v>0</v>
      </c>
      <c r="BP95" s="265" t="str">
        <f>IF($AW95=0,"",Y96)</f>
        <v/>
      </c>
      <c r="BR95" s="50">
        <v>106</v>
      </c>
      <c r="BW95" s="4"/>
      <c r="BX95" s="4"/>
      <c r="BZ95" s="369" t="s">
        <v>3603</v>
      </c>
      <c r="CA95" s="369" t="s">
        <v>3603</v>
      </c>
      <c r="CB95" s="82" t="s">
        <v>3604</v>
      </c>
      <c r="CD95" s="108"/>
      <c r="CE95" s="108"/>
      <c r="CF95" s="108"/>
      <c r="CG95" s="27"/>
      <c r="CH95" s="49" t="s">
        <v>465</v>
      </c>
      <c r="CI95" s="49" t="s">
        <v>22</v>
      </c>
      <c r="CJ95" s="49">
        <v>15</v>
      </c>
      <c r="CK95" s="49" t="s">
        <v>216</v>
      </c>
      <c r="CL95" s="49" t="s">
        <v>387</v>
      </c>
      <c r="CM95" s="49"/>
      <c r="CN95" s="49"/>
      <c r="CO95" s="50" t="s">
        <v>105</v>
      </c>
      <c r="CP95" s="51" t="str">
        <f>IF(OR(記入シート1!AE122="",記入シート1!AK122="",記入シート1!AP122=""),"",ASC(記入シート1!AE122)&amp;"-"&amp;ASC(記入シート1!AK122)&amp;"-"&amp;ASC(記入シート1!AP122))</f>
        <v/>
      </c>
      <c r="CQ95" s="2"/>
      <c r="CR95" s="45"/>
      <c r="CS95" s="45"/>
      <c r="CT95" s="45"/>
      <c r="CU95" s="45"/>
      <c r="CV95" s="10"/>
      <c r="CW95" s="618" t="s">
        <v>3778</v>
      </c>
      <c r="CX95" s="618"/>
      <c r="CY95" s="616" t="s">
        <v>736</v>
      </c>
      <c r="CZ95" s="617" t="s">
        <v>1112</v>
      </c>
      <c r="DA95" s="616"/>
      <c r="DB95" s="71" t="s">
        <v>3779</v>
      </c>
      <c r="DC95" s="908" t="s">
        <v>4407</v>
      </c>
      <c r="DD95" s="72">
        <f>IF(AV71=TRUE,1,0)</f>
        <v>0</v>
      </c>
      <c r="DE95" s="110"/>
      <c r="DF95" s="64"/>
      <c r="DG95" s="64"/>
      <c r="DH95" s="436" t="s">
        <v>2153</v>
      </c>
      <c r="DI95" s="436" t="s">
        <v>3221</v>
      </c>
      <c r="DJ95" s="626"/>
      <c r="DK95" s="75" t="str">
        <f t="shared" si="14"/>
        <v>93801Q23</v>
      </c>
      <c r="DL95" s="78" t="s">
        <v>3360</v>
      </c>
      <c r="DM95" s="78" t="s">
        <v>3362</v>
      </c>
      <c r="DN95" s="627" t="str">
        <f>UPPER(ASC(記入シート1!AE31))</f>
        <v/>
      </c>
      <c r="DV95" s="27"/>
      <c r="DX95" s="85"/>
      <c r="DY95" s="85"/>
    </row>
    <row r="96" spans="1:129" ht="19.5" hidden="1" customHeight="1">
      <c r="A96" s="354" t="s">
        <v>1234</v>
      </c>
      <c r="B96" s="181"/>
      <c r="C96" s="1876" t="s">
        <v>977</v>
      </c>
      <c r="D96" s="1948"/>
      <c r="E96" s="1948"/>
      <c r="F96" s="1948"/>
      <c r="G96" s="1948"/>
      <c r="H96" s="1948"/>
      <c r="I96" s="1948"/>
      <c r="J96" s="1948"/>
      <c r="K96" s="1948"/>
      <c r="L96" s="1955">
        <v>0</v>
      </c>
      <c r="M96" s="1956"/>
      <c r="N96" s="1956"/>
      <c r="O96" s="1956"/>
      <c r="P96" s="1956"/>
      <c r="Q96" s="1957">
        <v>0</v>
      </c>
      <c r="R96" s="1957"/>
      <c r="S96" s="1957"/>
      <c r="T96" s="1957"/>
      <c r="U96" s="1958">
        <f>Q96*AA126</f>
        <v>0</v>
      </c>
      <c r="V96" s="1958"/>
      <c r="W96" s="1958"/>
      <c r="X96" s="1958"/>
      <c r="Y96" s="1959">
        <v>0</v>
      </c>
      <c r="Z96" s="1960"/>
      <c r="AA96" s="1960"/>
      <c r="AB96" s="1960"/>
      <c r="AC96" s="1960"/>
      <c r="AD96" s="2505" t="s">
        <v>1000</v>
      </c>
      <c r="AE96" s="2505"/>
      <c r="AF96" s="2506"/>
      <c r="AG96" s="2507" t="s">
        <v>1006</v>
      </c>
      <c r="AH96" s="2508"/>
      <c r="AI96" s="2508"/>
      <c r="AJ96" s="2508"/>
      <c r="AK96" s="2508"/>
      <c r="AL96" s="2508"/>
      <c r="AM96" s="2508"/>
      <c r="AN96" s="2508"/>
      <c r="AO96" s="2508"/>
      <c r="AP96" s="2508"/>
      <c r="AQ96" s="2508"/>
      <c r="AR96" s="2508"/>
      <c r="AS96" s="2508"/>
      <c r="AT96" s="2509"/>
      <c r="AU96" s="171"/>
      <c r="AV96" s="151" t="b">
        <v>0</v>
      </c>
      <c r="AW96" s="274">
        <f>IF(AV97=TRUE,AV97*1,0)</f>
        <v>0</v>
      </c>
      <c r="AX96" s="257" t="str">
        <f>IF(AV97=TRUE,"端末登録月額固定費　単価","")</f>
        <v/>
      </c>
      <c r="AY96" s="282" t="str">
        <f>TEXT(BR96,"000")</f>
        <v>707</v>
      </c>
      <c r="AZ96" s="274">
        <f>IF(SUM(AW96:AW97)&gt;0,1,0)</f>
        <v>0</v>
      </c>
      <c r="BA96" s="50"/>
      <c r="BB96" s="106" t="s">
        <v>995</v>
      </c>
      <c r="BC96" s="106" t="s">
        <v>992</v>
      </c>
      <c r="BD96" s="258">
        <f>ROW($AV$97)</f>
        <v>97</v>
      </c>
      <c r="BE96" s="50"/>
      <c r="BF96" s="275" t="str">
        <f>"707"&amp;BC96&amp;8</f>
        <v>707707018</v>
      </c>
      <c r="BG96" s="264"/>
      <c r="BH96" s="262" t="str">
        <f>AX96&amp;"→"</f>
        <v>→</v>
      </c>
      <c r="BI96" s="276">
        <v>70601</v>
      </c>
      <c r="BJ96" s="264">
        <f>AW96</f>
        <v>0</v>
      </c>
      <c r="BK96" s="50">
        <f>AZ96</f>
        <v>0</v>
      </c>
      <c r="BL96" s="1945">
        <v>0</v>
      </c>
      <c r="BM96" s="1945">
        <v>0</v>
      </c>
      <c r="BN96" s="267">
        <v>0</v>
      </c>
      <c r="BO96" s="267">
        <v>0</v>
      </c>
      <c r="BP96" s="265" t="str">
        <f>IF($AW96=0,"",Q97)</f>
        <v/>
      </c>
      <c r="BR96" s="50">
        <v>707</v>
      </c>
      <c r="BW96" s="4"/>
      <c r="BX96" s="4"/>
      <c r="BZ96" s="369" t="s">
        <v>3605</v>
      </c>
      <c r="CA96" s="369" t="s">
        <v>3605</v>
      </c>
      <c r="CB96" s="82" t="s">
        <v>3606</v>
      </c>
      <c r="CD96" s="108"/>
      <c r="CE96" s="108"/>
      <c r="CF96" s="108"/>
      <c r="CG96" s="27"/>
      <c r="CH96" s="49" t="s">
        <v>467</v>
      </c>
      <c r="CI96" s="49" t="s">
        <v>22</v>
      </c>
      <c r="CJ96" s="49">
        <v>128</v>
      </c>
      <c r="CK96" s="49" t="s">
        <v>216</v>
      </c>
      <c r="CL96" s="49" t="s">
        <v>387</v>
      </c>
      <c r="CM96" s="49"/>
      <c r="CN96" s="49"/>
      <c r="CO96" s="50" t="s">
        <v>102</v>
      </c>
      <c r="CP96" s="51" t="str">
        <f>ASC(記入シート1!AE123)</f>
        <v/>
      </c>
      <c r="CQ96" s="2"/>
      <c r="CR96" s="45"/>
      <c r="CS96" s="45"/>
      <c r="CT96" s="45"/>
      <c r="CU96" s="45"/>
      <c r="CV96" s="10"/>
      <c r="CW96" s="618" t="s">
        <v>2156</v>
      </c>
      <c r="CX96" s="618"/>
      <c r="CY96" s="616" t="s">
        <v>736</v>
      </c>
      <c r="CZ96" s="617" t="s">
        <v>1112</v>
      </c>
      <c r="DA96" s="616"/>
      <c r="DB96" s="71" t="str">
        <f t="shared" si="21"/>
        <v>941</v>
      </c>
      <c r="DC96" s="619" t="s">
        <v>3549</v>
      </c>
      <c r="DD96" s="72">
        <f>IF(AV75=TRUE,1,0)</f>
        <v>0</v>
      </c>
      <c r="DE96" s="110"/>
      <c r="DF96" s="64"/>
      <c r="DG96" s="64"/>
      <c r="DH96" s="436" t="s">
        <v>2153</v>
      </c>
      <c r="DI96" s="436" t="s">
        <v>3222</v>
      </c>
      <c r="DJ96" s="626"/>
      <c r="DK96" s="75" t="str">
        <f t="shared" si="14"/>
        <v>93801Q24</v>
      </c>
      <c r="DL96" s="78" t="s">
        <v>3360</v>
      </c>
      <c r="DM96" s="78" t="s">
        <v>3363</v>
      </c>
      <c r="DN96" s="627" t="str">
        <f>IF(OR(AV66="00",AV66=""),"",ASC(AV66))</f>
        <v>30</v>
      </c>
      <c r="DV96" s="27"/>
      <c r="DX96" s="85"/>
      <c r="DY96" s="85"/>
    </row>
    <row r="97" spans="1:129" ht="19.5" hidden="1" customHeight="1" thickBot="1">
      <c r="A97" s="354" t="s">
        <v>1234</v>
      </c>
      <c r="B97" s="181"/>
      <c r="C97" s="1876" t="s">
        <v>987</v>
      </c>
      <c r="D97" s="1948"/>
      <c r="E97" s="1948"/>
      <c r="F97" s="1948"/>
      <c r="G97" s="1948"/>
      <c r="H97" s="1948"/>
      <c r="I97" s="1948"/>
      <c r="J97" s="1948"/>
      <c r="K97" s="1948"/>
      <c r="L97" s="1949">
        <v>0</v>
      </c>
      <c r="M97" s="1950"/>
      <c r="N97" s="1950"/>
      <c r="O97" s="1950"/>
      <c r="P97" s="1950"/>
      <c r="Q97" s="1951">
        <v>0</v>
      </c>
      <c r="R97" s="1951"/>
      <c r="S97" s="1951"/>
      <c r="T97" s="1951"/>
      <c r="U97" s="1952">
        <f>Q97*AA126</f>
        <v>0</v>
      </c>
      <c r="V97" s="1952"/>
      <c r="W97" s="1952"/>
      <c r="X97" s="1952"/>
      <c r="Y97" s="1953">
        <v>0</v>
      </c>
      <c r="Z97" s="1954"/>
      <c r="AA97" s="1954"/>
      <c r="AB97" s="281" t="s">
        <v>1000</v>
      </c>
      <c r="AC97" s="1961">
        <v>0</v>
      </c>
      <c r="AD97" s="1962"/>
      <c r="AE97" s="1962"/>
      <c r="AF97" s="280" t="s">
        <v>1000</v>
      </c>
      <c r="AG97" s="2510"/>
      <c r="AH97" s="2511"/>
      <c r="AI97" s="2511"/>
      <c r="AJ97" s="2511"/>
      <c r="AK97" s="2511"/>
      <c r="AL97" s="2511"/>
      <c r="AM97" s="2511"/>
      <c r="AN97" s="2511"/>
      <c r="AO97" s="2511"/>
      <c r="AP97" s="2511"/>
      <c r="AQ97" s="2511"/>
      <c r="AR97" s="2511"/>
      <c r="AS97" s="2511"/>
      <c r="AT97" s="2512"/>
      <c r="AU97" s="171"/>
      <c r="AV97" s="151" t="b">
        <v>0</v>
      </c>
      <c r="AW97" s="274">
        <f>$AW$96</f>
        <v>0</v>
      </c>
      <c r="AX97" s="257" t="str">
        <f>IF(AV97=TRUE,"端末登録　登録トランザクション費用(正常完了)","")</f>
        <v/>
      </c>
      <c r="AY97" s="274"/>
      <c r="AZ97" s="274">
        <f>AZ96</f>
        <v>0</v>
      </c>
      <c r="BA97" s="50"/>
      <c r="BB97" s="106" t="str">
        <f>BB96</f>
        <v>00</v>
      </c>
      <c r="BC97" s="106" t="s">
        <v>993</v>
      </c>
      <c r="BD97" s="258">
        <f>ROW($AV$97)</f>
        <v>97</v>
      </c>
      <c r="BE97" s="50"/>
      <c r="BF97" s="275" t="str">
        <f>"707"&amp;BC97&amp;9</f>
        <v>707707029</v>
      </c>
      <c r="BG97" s="264"/>
      <c r="BH97" s="262" t="str">
        <f>AX97&amp;"→"</f>
        <v>→</v>
      </c>
      <c r="BI97" s="276">
        <v>70601</v>
      </c>
      <c r="BJ97" s="264">
        <f>AW97</f>
        <v>0</v>
      </c>
      <c r="BK97" s="50">
        <f>AZ97</f>
        <v>0</v>
      </c>
      <c r="BL97" s="1946"/>
      <c r="BM97" s="1946"/>
      <c r="BN97" s="267">
        <v>0</v>
      </c>
      <c r="BO97" s="267">
        <v>0</v>
      </c>
      <c r="BP97" s="265" t="str">
        <f>IF($AW97=0,"",Y97)</f>
        <v/>
      </c>
      <c r="BR97" s="50">
        <v>707</v>
      </c>
      <c r="BX97" s="4"/>
      <c r="BZ97" s="369" t="s">
        <v>3607</v>
      </c>
      <c r="CA97" s="369" t="s">
        <v>3607</v>
      </c>
      <c r="CB97" s="82" t="s">
        <v>3608</v>
      </c>
      <c r="CD97" s="108"/>
      <c r="CE97" s="108"/>
      <c r="CF97" s="108"/>
      <c r="CG97" s="27"/>
      <c r="CH97" s="49" t="s">
        <v>468</v>
      </c>
      <c r="CI97" s="49" t="s">
        <v>22</v>
      </c>
      <c r="CJ97" s="49">
        <v>40</v>
      </c>
      <c r="CK97" s="49" t="s">
        <v>216</v>
      </c>
      <c r="CL97" s="49" t="s">
        <v>387</v>
      </c>
      <c r="CM97" s="49"/>
      <c r="CN97" s="49"/>
      <c r="CO97" s="50" t="s">
        <v>99</v>
      </c>
      <c r="CP97" s="51" t="str">
        <f>ASC(SUBSTITUTE(SUBSTITUTE(SUBSTITUTE(SUBSTITUTE(記入シート1!I124,"ヴ","ウﾞ"),"・",""),"　","")," ",""))&amp;" "&amp;ASC(SUBSTITUTE(SUBSTITUTE(SUBSTITUTE(SUBSTITUTE(記入シート1!Q124,"ヴ","ウﾞ"),"・",""),"　","")," ",""))</f>
        <v xml:space="preserve"> </v>
      </c>
      <c r="CQ97" s="2"/>
      <c r="CR97" s="45"/>
      <c r="CS97" s="45"/>
      <c r="CT97" s="45"/>
      <c r="CU97" s="45"/>
      <c r="CV97" s="10"/>
      <c r="CW97" s="618" t="s">
        <v>3775</v>
      </c>
      <c r="CX97" s="618"/>
      <c r="CY97" s="616" t="s">
        <v>736</v>
      </c>
      <c r="CZ97" s="617" t="s">
        <v>1112</v>
      </c>
      <c r="DA97" s="616"/>
      <c r="DB97" s="71" t="str">
        <f t="shared" si="21"/>
        <v>943</v>
      </c>
      <c r="DC97" s="619" t="s">
        <v>3780</v>
      </c>
      <c r="DD97" s="72">
        <f>IF(AV50=TRUE,1,0)</f>
        <v>0</v>
      </c>
      <c r="DE97" s="110"/>
      <c r="DF97" s="64"/>
      <c r="DG97" s="64"/>
      <c r="DH97" s="436" t="s">
        <v>2153</v>
      </c>
      <c r="DI97" s="436" t="s">
        <v>3223</v>
      </c>
      <c r="DJ97" s="436" t="s">
        <v>3350</v>
      </c>
      <c r="DK97" s="75" t="str">
        <f t="shared" si="14"/>
        <v>93801Q25</v>
      </c>
      <c r="DL97" s="78" t="s">
        <v>3360</v>
      </c>
      <c r="DM97" s="78" t="s">
        <v>3364</v>
      </c>
      <c r="DN97" s="627" t="str">
        <f>IF(AW66=1,"0","1")</f>
        <v>1</v>
      </c>
      <c r="DV97" s="27"/>
      <c r="DX97" s="85"/>
      <c r="DY97" s="85"/>
    </row>
    <row r="98" spans="1:129" ht="19.5" hidden="1" customHeight="1" thickTop="1">
      <c r="A98" s="354" t="s">
        <v>1234</v>
      </c>
      <c r="B98" s="181"/>
      <c r="C98" s="1963" t="s">
        <v>988</v>
      </c>
      <c r="D98" s="1964"/>
      <c r="E98" s="1964"/>
      <c r="F98" s="1964"/>
      <c r="G98" s="1964"/>
      <c r="H98" s="1969"/>
      <c r="I98" s="1969"/>
      <c r="J98" s="1969"/>
      <c r="K98" s="1970"/>
      <c r="L98" s="1971" t="s">
        <v>998</v>
      </c>
      <c r="M98" s="1972"/>
      <c r="N98" s="1973"/>
      <c r="O98" s="1974" t="s">
        <v>999</v>
      </c>
      <c r="P98" s="1975"/>
      <c r="Q98" s="1974" t="s">
        <v>981</v>
      </c>
      <c r="R98" s="1976"/>
      <c r="S98" s="1976"/>
      <c r="T98" s="1976"/>
      <c r="U98" s="1976"/>
      <c r="V98" s="1976"/>
      <c r="W98" s="1976"/>
      <c r="X98" s="1975"/>
      <c r="Y98" s="1974" t="s">
        <v>978</v>
      </c>
      <c r="Z98" s="1976"/>
      <c r="AA98" s="1976"/>
      <c r="AB98" s="1976"/>
      <c r="AC98" s="1976"/>
      <c r="AD98" s="1976"/>
      <c r="AE98" s="1976"/>
      <c r="AF98" s="1975"/>
      <c r="AG98" s="1974" t="s">
        <v>982</v>
      </c>
      <c r="AH98" s="1976"/>
      <c r="AI98" s="1976"/>
      <c r="AJ98" s="1976"/>
      <c r="AK98" s="1976"/>
      <c r="AL98" s="1976"/>
      <c r="AM98" s="1976"/>
      <c r="AN98" s="1976"/>
      <c r="AO98" s="1976"/>
      <c r="AP98" s="1976"/>
      <c r="AQ98" s="1976"/>
      <c r="AR98" s="1976"/>
      <c r="AS98" s="1976"/>
      <c r="AT98" s="2513"/>
      <c r="AU98" s="171"/>
      <c r="AW98" s="274">
        <f>$AW$96</f>
        <v>0</v>
      </c>
      <c r="AX98" s="274" t="str">
        <f>IF(AV97=TRUE,"端末登録　登録トランザクション費用(未完了)","")</f>
        <v/>
      </c>
      <c r="AY98" s="274"/>
      <c r="AZ98" s="274">
        <f>AZ97</f>
        <v>0</v>
      </c>
      <c r="BA98" s="50"/>
      <c r="BB98" s="106" t="str">
        <f>BB97</f>
        <v>00</v>
      </c>
      <c r="BC98" s="106" t="s">
        <v>994</v>
      </c>
      <c r="BD98" s="50">
        <f>ROW($AV$97)</f>
        <v>97</v>
      </c>
      <c r="BE98" s="50"/>
      <c r="BF98" s="275" t="str">
        <f>"707"&amp;BC98&amp;10</f>
        <v>7077070310</v>
      </c>
      <c r="BG98" s="264"/>
      <c r="BH98" s="262" t="str">
        <f>AX98&amp;"→"</f>
        <v>→</v>
      </c>
      <c r="BI98" s="276">
        <v>70601</v>
      </c>
      <c r="BJ98" s="264">
        <f>AW98</f>
        <v>0</v>
      </c>
      <c r="BK98" s="50">
        <f>AZ98</f>
        <v>0</v>
      </c>
      <c r="BL98" s="1947"/>
      <c r="BM98" s="1947"/>
      <c r="BN98" s="267">
        <v>0</v>
      </c>
      <c r="BO98" s="267">
        <v>0</v>
      </c>
      <c r="BP98" s="265" t="str">
        <f>IF($AW98=0,"",AC97)</f>
        <v/>
      </c>
      <c r="BR98" s="50">
        <v>707</v>
      </c>
      <c r="BX98" s="4"/>
      <c r="BZ98" s="369" t="s">
        <v>3609</v>
      </c>
      <c r="CA98" s="369" t="s">
        <v>3610</v>
      </c>
      <c r="CB98" s="82" t="s">
        <v>3611</v>
      </c>
      <c r="CD98" s="108"/>
      <c r="CE98" s="108"/>
      <c r="CF98" s="108"/>
      <c r="CG98" s="27"/>
      <c r="CH98" s="49" t="s">
        <v>101</v>
      </c>
      <c r="CI98" s="49" t="s">
        <v>21</v>
      </c>
      <c r="CJ98" s="49">
        <v>40</v>
      </c>
      <c r="CK98" s="49" t="s">
        <v>216</v>
      </c>
      <c r="CL98" s="49" t="s">
        <v>90</v>
      </c>
      <c r="CM98" s="49"/>
      <c r="CN98" s="49"/>
      <c r="CO98" s="50" t="s">
        <v>100</v>
      </c>
      <c r="CP98" s="51" t="str">
        <f>T(SUBSTITUTE(SUBSTITUTE(記入シート1!I125,"　","")," ",""))&amp;"　"&amp;T(SUBSTITUTE(SUBSTITUTE(記入シート1!Q125,"　","")," ",""))</f>
        <v>　</v>
      </c>
      <c r="CQ98" s="2"/>
      <c r="CR98" s="45"/>
      <c r="CS98" s="45"/>
      <c r="CT98" s="45"/>
      <c r="CU98" s="45"/>
      <c r="CV98" s="10"/>
      <c r="CW98" s="618" t="s">
        <v>3772</v>
      </c>
      <c r="CX98" s="618"/>
      <c r="CY98" s="616" t="s">
        <v>736</v>
      </c>
      <c r="CZ98" s="617" t="s">
        <v>1112</v>
      </c>
      <c r="DA98" s="616"/>
      <c r="DB98" s="71" t="str">
        <f t="shared" si="21"/>
        <v>944</v>
      </c>
      <c r="DC98" s="619" t="s">
        <v>3781</v>
      </c>
      <c r="DD98" s="72">
        <f>IF(AV78=TRUE,1,0)</f>
        <v>0</v>
      </c>
      <c r="DE98" s="110"/>
      <c r="DF98" s="64"/>
      <c r="DG98" s="64"/>
      <c r="DH98" s="436" t="s">
        <v>2154</v>
      </c>
      <c r="DI98" s="436" t="s">
        <v>3224</v>
      </c>
      <c r="DJ98" s="626"/>
      <c r="DK98" s="75" t="str">
        <f t="shared" si="14"/>
        <v>93901Q32</v>
      </c>
      <c r="DL98" s="78" t="s">
        <v>3366</v>
      </c>
      <c r="DM98" s="78" t="s">
        <v>3367</v>
      </c>
      <c r="DN98" s="692" t="str">
        <f>""</f>
        <v/>
      </c>
      <c r="DV98" s="27"/>
      <c r="DX98" s="85"/>
      <c r="DY98" s="85"/>
    </row>
    <row r="99" spans="1:129" ht="19.5" hidden="1" customHeight="1">
      <c r="A99" s="354" t="s">
        <v>1234</v>
      </c>
      <c r="B99" s="181"/>
      <c r="C99" s="1965"/>
      <c r="D99" s="1966"/>
      <c r="E99" s="1966"/>
      <c r="F99" s="1966"/>
      <c r="G99" s="1966"/>
      <c r="H99" s="2514" t="s">
        <v>977</v>
      </c>
      <c r="I99" s="2515"/>
      <c r="J99" s="2515"/>
      <c r="K99" s="2516"/>
      <c r="L99" s="2517"/>
      <c r="M99" s="2517"/>
      <c r="N99" s="2517"/>
      <c r="O99" s="2517"/>
      <c r="P99" s="2517"/>
      <c r="Q99" s="2518"/>
      <c r="R99" s="2518"/>
      <c r="S99" s="2518"/>
      <c r="T99" s="2518"/>
      <c r="U99" s="2518"/>
      <c r="V99" s="2518"/>
      <c r="W99" s="2518"/>
      <c r="X99" s="2518"/>
      <c r="Y99" s="2518"/>
      <c r="Z99" s="2518"/>
      <c r="AA99" s="2518"/>
      <c r="AB99" s="2518"/>
      <c r="AC99" s="2518"/>
      <c r="AD99" s="2518"/>
      <c r="AE99" s="2518"/>
      <c r="AF99" s="2519"/>
      <c r="AG99" s="1900"/>
      <c r="AH99" s="1901"/>
      <c r="AI99" s="1904" t="s">
        <v>990</v>
      </c>
      <c r="AJ99" s="1905"/>
      <c r="AK99" s="1905"/>
      <c r="AL99" s="1905"/>
      <c r="AM99" s="1905"/>
      <c r="AN99" s="1905"/>
      <c r="AO99" s="1905"/>
      <c r="AP99" s="1905"/>
      <c r="AQ99" s="1905"/>
      <c r="AR99" s="1905"/>
      <c r="AS99" s="1905"/>
      <c r="AT99" s="1906"/>
      <c r="AU99" s="171"/>
      <c r="AV99" s="151" t="b">
        <v>0</v>
      </c>
      <c r="AW99" s="242"/>
      <c r="AX99" s="242"/>
      <c r="AY99" s="242"/>
      <c r="AZ99" s="242"/>
      <c r="BA99" s="13"/>
      <c r="BB99" s="243"/>
      <c r="BC99" s="243"/>
      <c r="BD99" s="13"/>
      <c r="BE99" s="13"/>
      <c r="BF99" s="244"/>
      <c r="BG99" s="245"/>
      <c r="BH99" s="246"/>
      <c r="BI99" s="247"/>
      <c r="BJ99" s="245"/>
      <c r="BK99" s="13"/>
      <c r="BL99" s="222"/>
      <c r="BM99" s="222"/>
      <c r="BN99" s="248"/>
      <c r="BO99" s="248"/>
      <c r="BP99" s="222"/>
      <c r="BR99" s="13"/>
      <c r="BX99" s="4"/>
      <c r="BZ99" s="369" t="s">
        <v>3612</v>
      </c>
      <c r="CA99" s="369" t="s">
        <v>3612</v>
      </c>
      <c r="CB99" s="82" t="s">
        <v>3613</v>
      </c>
      <c r="CD99" s="108"/>
      <c r="CE99" s="108"/>
      <c r="CF99" s="108"/>
      <c r="CG99" s="27"/>
      <c r="CH99" s="49" t="s">
        <v>469</v>
      </c>
      <c r="CI99" s="49" t="s">
        <v>21</v>
      </c>
      <c r="CJ99" s="49">
        <v>40</v>
      </c>
      <c r="CK99" s="49" t="s">
        <v>83</v>
      </c>
      <c r="CL99" s="49" t="s">
        <v>83</v>
      </c>
      <c r="CM99" s="49"/>
      <c r="CN99" s="49"/>
      <c r="CO99" s="50" t="s">
        <v>96</v>
      </c>
      <c r="CP99" s="51" t="str">
        <f>T(記入シート1!AE124)</f>
        <v/>
      </c>
      <c r="CQ99" s="2"/>
      <c r="CR99" s="45"/>
      <c r="CS99" s="45"/>
      <c r="CT99" s="45"/>
      <c r="CU99" s="45"/>
      <c r="CV99" s="10"/>
      <c r="CW99" s="618" t="s">
        <v>3783</v>
      </c>
      <c r="CX99" s="620"/>
      <c r="CY99" s="616" t="s">
        <v>736</v>
      </c>
      <c r="CZ99" s="617" t="s">
        <v>1112</v>
      </c>
      <c r="DA99" s="621"/>
      <c r="DB99" s="71" t="str">
        <f t="shared" si="21"/>
        <v>112</v>
      </c>
      <c r="DC99" s="619" t="s">
        <v>3782</v>
      </c>
      <c r="DD99" s="72">
        <f>IF(AV34=TRUE,1,0)</f>
        <v>0</v>
      </c>
      <c r="DE99" s="110"/>
      <c r="DF99" s="64"/>
      <c r="DG99" s="64"/>
      <c r="DH99" s="436" t="s">
        <v>2154</v>
      </c>
      <c r="DI99" s="436" t="s">
        <v>3225</v>
      </c>
      <c r="DJ99" s="626"/>
      <c r="DK99" s="75" t="str">
        <f t="shared" si="14"/>
        <v>93901Q33</v>
      </c>
      <c r="DL99" s="78" t="s">
        <v>3366</v>
      </c>
      <c r="DM99" s="78" t="s">
        <v>3368</v>
      </c>
      <c r="DN99" s="692" t="str">
        <f>""</f>
        <v/>
      </c>
      <c r="DV99" s="27"/>
      <c r="DX99" s="85"/>
      <c r="DY99" s="85"/>
    </row>
    <row r="100" spans="1:129" ht="19.5" hidden="1" customHeight="1" thickBot="1">
      <c r="A100" s="354" t="s">
        <v>1234</v>
      </c>
      <c r="B100" s="181"/>
      <c r="C100" s="1967"/>
      <c r="D100" s="1968"/>
      <c r="E100" s="1968"/>
      <c r="F100" s="1968"/>
      <c r="G100" s="1968"/>
      <c r="H100" s="1910" t="s">
        <v>989</v>
      </c>
      <c r="I100" s="1911"/>
      <c r="J100" s="1911"/>
      <c r="K100" s="1912"/>
      <c r="L100" s="1913"/>
      <c r="M100" s="1913"/>
      <c r="N100" s="1913"/>
      <c r="O100" s="1913"/>
      <c r="P100" s="1913"/>
      <c r="Q100" s="1977"/>
      <c r="R100" s="1977"/>
      <c r="S100" s="1977"/>
      <c r="T100" s="1977"/>
      <c r="U100" s="1977"/>
      <c r="V100" s="1977"/>
      <c r="W100" s="1977"/>
      <c r="X100" s="1977"/>
      <c r="Y100" s="1977"/>
      <c r="Z100" s="1977"/>
      <c r="AA100" s="1977"/>
      <c r="AB100" s="1977"/>
      <c r="AC100" s="1977"/>
      <c r="AD100" s="1977"/>
      <c r="AE100" s="1977"/>
      <c r="AF100" s="1978"/>
      <c r="AG100" s="1902"/>
      <c r="AH100" s="1903"/>
      <c r="AI100" s="1907"/>
      <c r="AJ100" s="1908"/>
      <c r="AK100" s="1908"/>
      <c r="AL100" s="1908"/>
      <c r="AM100" s="1908"/>
      <c r="AN100" s="1908"/>
      <c r="AO100" s="1908"/>
      <c r="AP100" s="1908"/>
      <c r="AQ100" s="1908"/>
      <c r="AR100" s="1908"/>
      <c r="AS100" s="1908"/>
      <c r="AT100" s="1909"/>
      <c r="AU100" s="171"/>
      <c r="AW100" s="242"/>
      <c r="AX100" s="242"/>
      <c r="AY100" s="242"/>
      <c r="AZ100" s="242"/>
      <c r="BA100" s="13"/>
      <c r="BB100" s="243"/>
      <c r="BC100" s="243"/>
      <c r="BD100" s="13"/>
      <c r="BE100" s="13"/>
      <c r="BF100" s="244"/>
      <c r="BG100" s="245"/>
      <c r="BH100" s="246"/>
      <c r="BI100" s="247"/>
      <c r="BJ100" s="245"/>
      <c r="BK100" s="13"/>
      <c r="BL100" s="222"/>
      <c r="BM100" s="222"/>
      <c r="BN100" s="248"/>
      <c r="BO100" s="248"/>
      <c r="BP100" s="222"/>
      <c r="BR100" s="13"/>
      <c r="BX100" s="4"/>
      <c r="BZ100" s="369" t="s">
        <v>3614</v>
      </c>
      <c r="CA100" s="369" t="s">
        <v>3615</v>
      </c>
      <c r="CB100" s="82" t="s">
        <v>3616</v>
      </c>
      <c r="CD100" s="108"/>
      <c r="CE100" s="108"/>
      <c r="CF100" s="108"/>
      <c r="CG100" s="27"/>
      <c r="CH100" s="49" t="s">
        <v>470</v>
      </c>
      <c r="CI100" s="49" t="s">
        <v>22</v>
      </c>
      <c r="CJ100" s="49">
        <v>15</v>
      </c>
      <c r="CK100" s="49" t="s">
        <v>216</v>
      </c>
      <c r="CL100" s="49" t="s">
        <v>392</v>
      </c>
      <c r="CM100" s="49"/>
      <c r="CN100" s="49"/>
      <c r="CO100" s="50" t="s">
        <v>95</v>
      </c>
      <c r="CP100" s="51" t="str">
        <f>ASC(記入シート1!AE125)&amp;"-"&amp;ASC(記入シート1!AK125)&amp;"-"&amp;ASC(記入シート1!AP125)</f>
        <v>--</v>
      </c>
      <c r="CQ100" s="2"/>
      <c r="CR100" s="45"/>
      <c r="CS100" s="45"/>
      <c r="CT100" s="45"/>
      <c r="CU100" s="45"/>
      <c r="CV100" s="10"/>
      <c r="CW100" s="1099" t="s">
        <v>5127</v>
      </c>
      <c r="CX100" s="620"/>
      <c r="CY100" s="616" t="s">
        <v>5128</v>
      </c>
      <c r="CZ100" s="617" t="s">
        <v>1112</v>
      </c>
      <c r="DA100" s="621"/>
      <c r="DB100" s="71" t="str">
        <f t="shared" ref="DB100" si="22">LEFT(DC100,3)</f>
        <v>945</v>
      </c>
      <c r="DC100" s="908" t="s">
        <v>5129</v>
      </c>
      <c r="DD100" s="72">
        <f>IF(AV80=TRUE,1,0)</f>
        <v>0</v>
      </c>
      <c r="DE100" s="110"/>
      <c r="DF100" s="64"/>
      <c r="DG100" s="64"/>
      <c r="DH100" s="436" t="s">
        <v>2154</v>
      </c>
      <c r="DI100" s="436" t="s">
        <v>2173</v>
      </c>
      <c r="DJ100" s="626"/>
      <c r="DK100" s="75" t="str">
        <f t="shared" si="14"/>
        <v>93901Q34</v>
      </c>
      <c r="DL100" s="78" t="s">
        <v>3366</v>
      </c>
      <c r="DM100" s="78" t="s">
        <v>3369</v>
      </c>
      <c r="DN100" s="627" t="str">
        <f>T(記入シート1!I67)</f>
        <v/>
      </c>
      <c r="DV100" s="23"/>
      <c r="DX100" s="85"/>
      <c r="DY100" s="85"/>
    </row>
    <row r="101" spans="1:129" ht="19.5" hidden="1" customHeight="1" thickBot="1">
      <c r="A101" s="354" t="s">
        <v>1234</v>
      </c>
      <c r="B101" s="181"/>
      <c r="C101" s="273"/>
      <c r="D101" s="273"/>
      <c r="E101" s="273"/>
      <c r="F101" s="273"/>
      <c r="G101" s="273"/>
      <c r="H101" s="273"/>
      <c r="I101" s="273"/>
      <c r="J101" s="273"/>
      <c r="K101" s="273"/>
      <c r="L101" s="588" t="str">
        <f>IF(OR(AV96=TRUE,AV97=TRUE),"↑マーチャントID/サービスIDについては、既にオンラインASP決済サービスをご利用の場合のみご記入ください。","")</f>
        <v/>
      </c>
      <c r="M101" s="487"/>
      <c r="N101" s="488"/>
      <c r="O101" s="488"/>
      <c r="P101" s="488"/>
      <c r="Q101" s="488"/>
      <c r="R101" s="488"/>
      <c r="S101" s="488"/>
      <c r="T101" s="488"/>
      <c r="U101" s="488"/>
      <c r="V101" s="270"/>
      <c r="W101" s="270"/>
      <c r="X101" s="270"/>
      <c r="Y101" s="270"/>
      <c r="Z101" s="270"/>
      <c r="AA101" s="270"/>
      <c r="AB101" s="270"/>
      <c r="AC101" s="270"/>
      <c r="AD101" s="270"/>
      <c r="AE101" s="270"/>
      <c r="AF101" s="270"/>
      <c r="AG101" s="589"/>
      <c r="AH101" s="589" t="str">
        <f>IF(AND(OR(AV96=TRUE,AV97=TRUE),AV99=FALSE),"↑端末登録機能における事前確認事項をご確認ください。","")</f>
        <v/>
      </c>
      <c r="AI101" s="270"/>
      <c r="AJ101" s="270"/>
      <c r="AK101" s="270"/>
      <c r="AL101" s="270"/>
      <c r="AM101" s="270"/>
      <c r="AN101" s="270"/>
      <c r="AO101" s="270"/>
      <c r="AP101" s="270"/>
      <c r="AQ101" s="270"/>
      <c r="AR101" s="270"/>
      <c r="AS101" s="270"/>
      <c r="AT101" s="270"/>
      <c r="AU101" s="171"/>
      <c r="AW101" s="242"/>
      <c r="AX101" s="242"/>
      <c r="AY101" s="242"/>
      <c r="AZ101" s="242"/>
      <c r="BA101" s="13"/>
      <c r="BB101" s="243"/>
      <c r="BC101" s="243"/>
      <c r="BD101" s="13"/>
      <c r="BE101" s="13"/>
      <c r="BF101" s="244"/>
      <c r="BG101" s="245"/>
      <c r="BH101" s="246"/>
      <c r="BI101" s="247"/>
      <c r="BJ101" s="245"/>
      <c r="BK101" s="13"/>
      <c r="BL101" s="222"/>
      <c r="BM101" s="222"/>
      <c r="BN101" s="248"/>
      <c r="BO101" s="248"/>
      <c r="BP101" s="222"/>
      <c r="BR101" s="13"/>
      <c r="BX101" s="4"/>
      <c r="BZ101" s="369" t="s">
        <v>3617</v>
      </c>
      <c r="CA101" s="369" t="s">
        <v>3618</v>
      </c>
      <c r="CB101" s="82" t="s">
        <v>3619</v>
      </c>
      <c r="CD101" s="108"/>
      <c r="CE101" s="108"/>
      <c r="CF101" s="108"/>
      <c r="CG101" s="23"/>
      <c r="CH101" s="49" t="s">
        <v>471</v>
      </c>
      <c r="CI101" s="49" t="s">
        <v>22</v>
      </c>
      <c r="CJ101" s="49">
        <v>128</v>
      </c>
      <c r="CK101" s="49" t="s">
        <v>216</v>
      </c>
      <c r="CL101" s="49" t="s">
        <v>90</v>
      </c>
      <c r="CM101" s="49"/>
      <c r="CN101" s="49"/>
      <c r="CO101" s="50" t="s">
        <v>94</v>
      </c>
      <c r="CP101" s="51" t="str">
        <f>ASC(記入シート1!AE127)</f>
        <v/>
      </c>
      <c r="CQ101" s="2"/>
      <c r="CR101" s="45"/>
      <c r="CS101" s="45"/>
      <c r="CT101" s="45"/>
      <c r="CU101" s="45"/>
      <c r="CV101" s="10"/>
      <c r="CW101" s="1099" t="s">
        <v>5715</v>
      </c>
      <c r="CX101" s="620"/>
      <c r="CY101" s="616" t="s">
        <v>5128</v>
      </c>
      <c r="CZ101" s="617" t="s">
        <v>1112</v>
      </c>
      <c r="DA101" s="621"/>
      <c r="DB101" s="71" t="str">
        <f t="shared" ref="DB101" si="23">LEFT(DC101,3)</f>
        <v>949</v>
      </c>
      <c r="DC101" s="1100" t="s">
        <v>5716</v>
      </c>
      <c r="DD101" s="1101">
        <f>CU24</f>
        <v>0</v>
      </c>
      <c r="DE101" s="110"/>
      <c r="DF101" s="64"/>
      <c r="DG101" s="64"/>
      <c r="DH101" s="436" t="s">
        <v>2154</v>
      </c>
      <c r="DI101" s="436" t="s">
        <v>3219</v>
      </c>
      <c r="DJ101" s="626"/>
      <c r="DK101" s="75" t="str">
        <f t="shared" si="14"/>
        <v>93901Q35</v>
      </c>
      <c r="DL101" s="78" t="s">
        <v>3366</v>
      </c>
      <c r="DM101" s="78" t="s">
        <v>3370</v>
      </c>
      <c r="DN101" s="627" t="str">
        <f>ASC(記入シート1!I43)</f>
        <v/>
      </c>
      <c r="DP101" s="10"/>
      <c r="DV101" s="23"/>
      <c r="DX101" s="85"/>
      <c r="DY101" s="85"/>
    </row>
    <row r="102" spans="1:129" ht="19.5" hidden="1" customHeight="1">
      <c r="A102" s="354" t="s">
        <v>3574</v>
      </c>
      <c r="B102" s="181"/>
      <c r="C102" s="1917" t="s">
        <v>862</v>
      </c>
      <c r="D102" s="1918"/>
      <c r="E102" s="1918"/>
      <c r="F102" s="1918"/>
      <c r="G102" s="1918"/>
      <c r="H102" s="1918"/>
      <c r="I102" s="1918"/>
      <c r="J102" s="1918"/>
      <c r="K102" s="1919"/>
      <c r="L102" s="1926" t="s">
        <v>1404</v>
      </c>
      <c r="M102" s="1927"/>
      <c r="N102" s="1927"/>
      <c r="O102" s="1927"/>
      <c r="P102" s="1927"/>
      <c r="Q102" s="1927"/>
      <c r="R102" s="1927"/>
      <c r="S102" s="1927"/>
      <c r="T102" s="1927"/>
      <c r="U102" s="1927"/>
      <c r="V102" s="1927"/>
      <c r="W102" s="1927"/>
      <c r="X102" s="1927"/>
      <c r="Y102" s="1927"/>
      <c r="Z102" s="1927"/>
      <c r="AA102" s="1927"/>
      <c r="AB102" s="1927"/>
      <c r="AC102" s="1927"/>
      <c r="AD102" s="1927"/>
      <c r="AE102" s="1927"/>
      <c r="AF102" s="1927"/>
      <c r="AG102" s="1927"/>
      <c r="AH102" s="1927"/>
      <c r="AI102" s="1927"/>
      <c r="AJ102" s="1927"/>
      <c r="AK102" s="1927"/>
      <c r="AL102" s="1927"/>
      <c r="AM102" s="1927"/>
      <c r="AN102" s="1927"/>
      <c r="AO102" s="1927"/>
      <c r="AP102" s="1927"/>
      <c r="AQ102" s="1927"/>
      <c r="AR102" s="1927"/>
      <c r="AS102" s="1927"/>
      <c r="AT102" s="1928"/>
      <c r="AU102" s="171"/>
      <c r="BX102" s="4"/>
      <c r="BZ102" s="369" t="s">
        <v>4865</v>
      </c>
      <c r="CA102" s="369" t="s">
        <v>4865</v>
      </c>
      <c r="CB102" s="82" t="s">
        <v>4866</v>
      </c>
      <c r="CD102" s="108"/>
      <c r="CE102" s="108"/>
      <c r="CF102" s="108"/>
      <c r="CG102" s="23"/>
      <c r="CH102" s="49" t="s">
        <v>472</v>
      </c>
      <c r="CI102" s="49" t="s">
        <v>22</v>
      </c>
      <c r="CJ102" s="49">
        <v>15</v>
      </c>
      <c r="CK102" s="49" t="s">
        <v>216</v>
      </c>
      <c r="CL102" s="49" t="s">
        <v>83</v>
      </c>
      <c r="CM102" s="49"/>
      <c r="CN102" s="49"/>
      <c r="CO102" s="50" t="s">
        <v>86</v>
      </c>
      <c r="CP102" s="51" t="str">
        <f>IF(OR(記入シート1!AE126="",記入シート1!AK126="",記入シート1!AP126=""),"00-0000-0000",ASC(記入シート1!AE126)&amp;"-"&amp;ASC(記入シート1!AK126)&amp;"-"&amp;ASC(記入シート1!AP126))</f>
        <v>00-0000-0000</v>
      </c>
      <c r="CQ102" s="2"/>
      <c r="CR102" s="45"/>
      <c r="CS102" s="45"/>
      <c r="CT102" s="45"/>
      <c r="CU102" s="45"/>
      <c r="CV102" s="10"/>
      <c r="CW102" s="32"/>
      <c r="CX102" s="32"/>
      <c r="CY102" s="31"/>
      <c r="CZ102" s="33"/>
      <c r="DA102" s="31"/>
      <c r="DB102" s="32" t="s">
        <v>583</v>
      </c>
      <c r="DC102" s="32"/>
      <c r="DD102" s="32"/>
      <c r="DE102" s="110"/>
      <c r="DF102" s="64"/>
      <c r="DG102" s="64"/>
      <c r="DH102" s="436" t="s">
        <v>2154</v>
      </c>
      <c r="DI102" s="436" t="s">
        <v>3226</v>
      </c>
      <c r="DJ102" s="436" t="s">
        <v>3392</v>
      </c>
      <c r="DK102" s="75" t="str">
        <f t="shared" si="14"/>
        <v>93901Q36</v>
      </c>
      <c r="DL102" s="78" t="s">
        <v>3366</v>
      </c>
      <c r="DM102" s="78" t="s">
        <v>3371</v>
      </c>
      <c r="DN102" s="692" t="str">
        <f>""</f>
        <v/>
      </c>
      <c r="DP102" s="10"/>
      <c r="DV102" s="23"/>
      <c r="DX102" s="85"/>
      <c r="DY102" s="85"/>
    </row>
    <row r="103" spans="1:129" ht="19.5" hidden="1" customHeight="1">
      <c r="A103" s="354" t="s">
        <v>3574</v>
      </c>
      <c r="B103" s="181"/>
      <c r="C103" s="1920"/>
      <c r="D103" s="1921"/>
      <c r="E103" s="1921"/>
      <c r="F103" s="1921"/>
      <c r="G103" s="1921"/>
      <c r="H103" s="1921"/>
      <c r="I103" s="1921"/>
      <c r="J103" s="1921"/>
      <c r="K103" s="1922"/>
      <c r="L103" s="1929"/>
      <c r="M103" s="1930"/>
      <c r="N103" s="1930"/>
      <c r="O103" s="1930"/>
      <c r="P103" s="1930"/>
      <c r="Q103" s="1930"/>
      <c r="R103" s="1930"/>
      <c r="S103" s="1930"/>
      <c r="T103" s="1930"/>
      <c r="U103" s="1930"/>
      <c r="V103" s="1930"/>
      <c r="W103" s="1930"/>
      <c r="X103" s="1930"/>
      <c r="Y103" s="1930"/>
      <c r="Z103" s="1930"/>
      <c r="AA103" s="1930"/>
      <c r="AB103" s="1930"/>
      <c r="AC103" s="1930"/>
      <c r="AD103" s="1930"/>
      <c r="AE103" s="1930"/>
      <c r="AF103" s="1930"/>
      <c r="AG103" s="1930"/>
      <c r="AH103" s="1930"/>
      <c r="AI103" s="1930"/>
      <c r="AJ103" s="1930"/>
      <c r="AK103" s="1930"/>
      <c r="AL103" s="1930"/>
      <c r="AM103" s="1930"/>
      <c r="AN103" s="1930"/>
      <c r="AO103" s="1930"/>
      <c r="AP103" s="1930"/>
      <c r="AQ103" s="1930"/>
      <c r="AR103" s="1930"/>
      <c r="AS103" s="1930"/>
      <c r="AT103" s="1931"/>
      <c r="AU103" s="171"/>
      <c r="BX103" s="4"/>
      <c r="BZ103" s="369" t="s">
        <v>5575</v>
      </c>
      <c r="CA103" s="369" t="s">
        <v>5575</v>
      </c>
      <c r="CB103" s="82" t="s">
        <v>5576</v>
      </c>
      <c r="CD103" s="108"/>
      <c r="CE103" s="108"/>
      <c r="CF103" s="108"/>
      <c r="CG103" s="23"/>
      <c r="CH103" s="49" t="s">
        <v>93</v>
      </c>
      <c r="CI103" s="49" t="s">
        <v>22</v>
      </c>
      <c r="CJ103" s="49">
        <v>8</v>
      </c>
      <c r="CK103" s="49" t="s">
        <v>216</v>
      </c>
      <c r="CL103" s="49" t="s">
        <v>90</v>
      </c>
      <c r="CM103" s="49"/>
      <c r="CN103" s="49"/>
      <c r="CO103" s="50" t="s">
        <v>92</v>
      </c>
      <c r="CP103" s="51" t="str">
        <f>IF(記入シート1!AV128=1,記入シート2!CP20,IF(記入シート1!AV128=2,記入シート2!CP49,""))</f>
        <v/>
      </c>
      <c r="CQ103" s="2"/>
      <c r="CR103" s="45"/>
      <c r="CS103" s="45"/>
      <c r="CT103" s="45"/>
      <c r="CU103" s="45"/>
      <c r="CV103" s="10"/>
      <c r="CW103" s="32"/>
      <c r="CX103" s="32"/>
      <c r="CY103" s="31"/>
      <c r="CZ103" s="33"/>
      <c r="DA103" s="31"/>
      <c r="DC103" s="32"/>
      <c r="DD103" s="32"/>
      <c r="DE103" s="110"/>
      <c r="DF103" s="64"/>
      <c r="DG103" s="64"/>
      <c r="DH103" s="436" t="s">
        <v>2154</v>
      </c>
      <c r="DI103" s="436" t="s">
        <v>3227</v>
      </c>
      <c r="DJ103" s="436"/>
      <c r="DK103" s="75" t="str">
        <f t="shared" si="14"/>
        <v>93901Q37</v>
      </c>
      <c r="DL103" s="78" t="s">
        <v>3366</v>
      </c>
      <c r="DM103" s="78" t="s">
        <v>3385</v>
      </c>
      <c r="DN103" s="627" t="str">
        <f>ASC(記入シート1!AE31)</f>
        <v/>
      </c>
      <c r="DP103" s="10"/>
      <c r="DV103" s="23"/>
      <c r="DX103" s="85"/>
      <c r="DY103" s="85"/>
    </row>
    <row r="104" spans="1:129" ht="19.5" hidden="1" customHeight="1" thickBot="1">
      <c r="A104" s="354" t="s">
        <v>1234</v>
      </c>
      <c r="B104" s="181"/>
      <c r="C104" s="1923"/>
      <c r="D104" s="1924"/>
      <c r="E104" s="1924"/>
      <c r="F104" s="1924"/>
      <c r="G104" s="1924"/>
      <c r="H104" s="1924"/>
      <c r="I104" s="1924"/>
      <c r="J104" s="1924"/>
      <c r="K104" s="1925"/>
      <c r="L104" s="1932"/>
      <c r="M104" s="1933"/>
      <c r="N104" s="1933"/>
      <c r="O104" s="1933"/>
      <c r="P104" s="1933"/>
      <c r="Q104" s="1933"/>
      <c r="R104" s="1933"/>
      <c r="S104" s="1933"/>
      <c r="T104" s="1933"/>
      <c r="U104" s="1933"/>
      <c r="V104" s="1933"/>
      <c r="W104" s="1933"/>
      <c r="X104" s="1933"/>
      <c r="Y104" s="1933"/>
      <c r="Z104" s="1933"/>
      <c r="AA104" s="1933"/>
      <c r="AB104" s="1933"/>
      <c r="AC104" s="1933"/>
      <c r="AD104" s="1933"/>
      <c r="AE104" s="1933"/>
      <c r="AF104" s="1933"/>
      <c r="AG104" s="1933"/>
      <c r="AH104" s="1933"/>
      <c r="AI104" s="1933"/>
      <c r="AJ104" s="1933"/>
      <c r="AK104" s="1933"/>
      <c r="AL104" s="1933"/>
      <c r="AM104" s="1933"/>
      <c r="AN104" s="1933"/>
      <c r="AO104" s="1933"/>
      <c r="AP104" s="1933"/>
      <c r="AQ104" s="1933"/>
      <c r="AR104" s="1933"/>
      <c r="AS104" s="1933"/>
      <c r="AT104" s="1934"/>
      <c r="AU104" s="171"/>
      <c r="BX104" s="4"/>
      <c r="BZ104" s="369" t="s">
        <v>5577</v>
      </c>
      <c r="CA104" s="369" t="s">
        <v>5577</v>
      </c>
      <c r="CB104" s="82" t="s">
        <v>5578</v>
      </c>
      <c r="CD104" s="108"/>
      <c r="CE104" s="108"/>
      <c r="CF104" s="108"/>
      <c r="CG104" s="23"/>
      <c r="CH104" s="49" t="s">
        <v>473</v>
      </c>
      <c r="CI104" s="49" t="s">
        <v>21</v>
      </c>
      <c r="CJ104" s="49">
        <v>255</v>
      </c>
      <c r="CK104" s="49" t="s">
        <v>216</v>
      </c>
      <c r="CL104" s="49" t="s">
        <v>474</v>
      </c>
      <c r="CM104" s="49"/>
      <c r="CN104" s="49"/>
      <c r="CO104" s="50" t="s">
        <v>89</v>
      </c>
      <c r="CP104" s="51" t="str">
        <f>IF(記入シート1!AV128=1,CP21,IF(記入シート1!AV128=2,CP50,""))</f>
        <v/>
      </c>
      <c r="CQ104" s="2"/>
      <c r="CR104" s="45"/>
      <c r="CS104" s="45"/>
      <c r="CT104" s="45"/>
      <c r="CU104" s="45"/>
      <c r="CV104" s="10"/>
      <c r="CW104" s="32"/>
      <c r="CX104" s="32"/>
      <c r="CY104" s="31"/>
      <c r="CZ104" s="33"/>
      <c r="DA104" s="31"/>
      <c r="DC104" s="32"/>
      <c r="DD104" s="32"/>
      <c r="DE104" s="110"/>
      <c r="DF104" s="64"/>
      <c r="DG104" s="64"/>
      <c r="DH104" s="436" t="s">
        <v>2154</v>
      </c>
      <c r="DI104" s="436" t="s">
        <v>3228</v>
      </c>
      <c r="DJ104" s="436"/>
      <c r="DK104" s="75" t="str">
        <f t="shared" si="14"/>
        <v>93901Q38</v>
      </c>
      <c r="DL104" s="78" t="s">
        <v>3366</v>
      </c>
      <c r="DM104" s="78" t="s">
        <v>3386</v>
      </c>
      <c r="DN104" s="627" t="str">
        <f>IF(AV68="0000","",AV68)</f>
        <v/>
      </c>
      <c r="DO104" s="10"/>
      <c r="DP104" s="10"/>
      <c r="DX104" s="85"/>
      <c r="DY104" s="85"/>
    </row>
    <row r="105" spans="1:129" ht="19.5" hidden="1" customHeight="1" thickBot="1">
      <c r="A105" s="354" t="s">
        <v>3574</v>
      </c>
      <c r="B105" s="181"/>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171"/>
      <c r="BX105" s="4"/>
      <c r="BZ105" s="89" t="s">
        <v>5579</v>
      </c>
      <c r="CA105" s="369" t="s">
        <v>5579</v>
      </c>
      <c r="CB105" s="82" t="s">
        <v>5580</v>
      </c>
      <c r="CD105" s="108"/>
      <c r="CE105" s="108"/>
      <c r="CF105" s="108"/>
      <c r="CH105" s="59" t="s">
        <v>637</v>
      </c>
      <c r="CI105" s="59"/>
      <c r="CJ105" s="59"/>
      <c r="CK105" s="59"/>
      <c r="CL105" s="59"/>
      <c r="CM105" s="59"/>
      <c r="CN105" s="59"/>
      <c r="CO105" s="10"/>
      <c r="CP105" s="10"/>
      <c r="CQ105" s="2"/>
      <c r="CR105" s="45"/>
      <c r="CS105" s="45"/>
      <c r="CT105" s="45"/>
      <c r="CU105" s="45"/>
      <c r="CV105" s="10"/>
      <c r="CW105" s="32"/>
      <c r="CX105" s="32"/>
      <c r="CY105" s="31"/>
      <c r="CZ105" s="33"/>
      <c r="DA105" s="31"/>
      <c r="DC105" s="32"/>
      <c r="DD105" s="32"/>
      <c r="DE105" s="110"/>
      <c r="DF105" s="64"/>
      <c r="DG105" s="64"/>
      <c r="DH105" s="436" t="s">
        <v>2154</v>
      </c>
      <c r="DI105" s="436" t="s">
        <v>3229</v>
      </c>
      <c r="DJ105" s="436"/>
      <c r="DK105" s="75" t="str">
        <f t="shared" si="14"/>
        <v>93901Q39</v>
      </c>
      <c r="DL105" s="78" t="s">
        <v>3366</v>
      </c>
      <c r="DM105" s="78" t="s">
        <v>3387</v>
      </c>
      <c r="DN105" s="627" t="str">
        <f>IF(AV69="0000","",AV69)</f>
        <v/>
      </c>
      <c r="DO105" s="10"/>
      <c r="DP105" s="10"/>
      <c r="DX105" s="85"/>
      <c r="DY105" s="85"/>
    </row>
    <row r="106" spans="1:129" ht="19.5" hidden="1" customHeight="1" thickTop="1">
      <c r="A106" s="354" t="s">
        <v>1234</v>
      </c>
      <c r="B106" s="181"/>
      <c r="C106" s="1874" t="s">
        <v>1060</v>
      </c>
      <c r="D106" s="1875"/>
      <c r="E106" s="1875"/>
      <c r="F106" s="1875"/>
      <c r="G106" s="1875"/>
      <c r="H106" s="1875"/>
      <c r="I106" s="1875"/>
      <c r="J106" s="1875"/>
      <c r="K106" s="1875"/>
      <c r="L106" s="1875"/>
      <c r="M106" s="1875"/>
      <c r="N106" s="1875"/>
      <c r="O106" s="1875"/>
      <c r="P106" s="1935"/>
      <c r="Q106" s="1936" t="s">
        <v>2105</v>
      </c>
      <c r="R106" s="1937"/>
      <c r="S106" s="1937"/>
      <c r="T106" s="1937"/>
      <c r="U106" s="1937"/>
      <c r="V106" s="1937" t="s">
        <v>2106</v>
      </c>
      <c r="W106" s="1937"/>
      <c r="X106" s="1937"/>
      <c r="Y106" s="1937"/>
      <c r="Z106" s="1938"/>
      <c r="AA106" s="592"/>
      <c r="AB106" s="593"/>
      <c r="AC106" s="593"/>
      <c r="AD106" s="593"/>
      <c r="AE106" s="593"/>
      <c r="AF106" s="593"/>
      <c r="AG106" s="593"/>
      <c r="AH106" s="593"/>
      <c r="AI106" s="593"/>
      <c r="AJ106" s="593"/>
      <c r="AK106" s="593"/>
      <c r="AL106" s="593"/>
      <c r="AM106" s="593"/>
      <c r="AN106" s="593"/>
      <c r="AO106" s="593"/>
      <c r="AP106" s="593"/>
      <c r="AQ106" s="593"/>
      <c r="AR106" s="593"/>
      <c r="AS106" s="593"/>
      <c r="AT106" s="594"/>
      <c r="AU106" s="171"/>
      <c r="BX106" s="4"/>
      <c r="BZ106" s="89" t="s">
        <v>5581</v>
      </c>
      <c r="CA106" s="369" t="s">
        <v>5581</v>
      </c>
      <c r="CB106" s="82" t="s">
        <v>5582</v>
      </c>
      <c r="CD106" s="108"/>
      <c r="CE106" s="108"/>
      <c r="CF106" s="108"/>
      <c r="CH106" s="46" t="s">
        <v>323</v>
      </c>
      <c r="CI106" s="47" t="s">
        <v>586</v>
      </c>
      <c r="CJ106" s="47" t="s">
        <v>321</v>
      </c>
      <c r="CK106" s="46" t="s">
        <v>320</v>
      </c>
      <c r="CL106" s="46" t="s">
        <v>587</v>
      </c>
      <c r="CM106" s="46" t="s">
        <v>326</v>
      </c>
      <c r="CN106" s="46" t="s">
        <v>327</v>
      </c>
      <c r="CO106" s="46" t="s">
        <v>376</v>
      </c>
      <c r="CP106" s="46" t="s">
        <v>377</v>
      </c>
      <c r="CQ106" s="2"/>
      <c r="CR106" s="45"/>
      <c r="CS106" s="45"/>
      <c r="CT106" s="45"/>
      <c r="CU106" s="45"/>
      <c r="CV106" s="10"/>
      <c r="CW106" s="32"/>
      <c r="CX106" s="32"/>
      <c r="CY106" s="31"/>
      <c r="CZ106" s="33"/>
      <c r="DA106" s="31"/>
      <c r="DC106" s="32"/>
      <c r="DD106" s="32"/>
      <c r="DE106" s="110"/>
      <c r="DF106" s="64"/>
      <c r="DG106" s="64"/>
      <c r="DH106" s="436" t="s">
        <v>2154</v>
      </c>
      <c r="DI106" s="436" t="s">
        <v>3230</v>
      </c>
      <c r="DJ106" s="436" t="s">
        <v>3393</v>
      </c>
      <c r="DK106" s="75" t="str">
        <f t="shared" si="14"/>
        <v>93901Q3A</v>
      </c>
      <c r="DL106" s="78" t="s">
        <v>3366</v>
      </c>
      <c r="DM106" s="78" t="s">
        <v>3388</v>
      </c>
      <c r="DN106" s="692" t="str">
        <f>""</f>
        <v/>
      </c>
      <c r="DO106" s="10"/>
      <c r="DP106" s="10"/>
      <c r="DX106" s="85"/>
      <c r="DY106" s="85"/>
    </row>
    <row r="107" spans="1:129" ht="19.5" hidden="1" customHeight="1">
      <c r="A107" s="354" t="s">
        <v>1234</v>
      </c>
      <c r="B107" s="181"/>
      <c r="C107" s="1939" t="s">
        <v>2107</v>
      </c>
      <c r="D107" s="1940"/>
      <c r="E107" s="1940"/>
      <c r="F107" s="1940"/>
      <c r="G107" s="1940"/>
      <c r="H107" s="1940"/>
      <c r="I107" s="1940"/>
      <c r="J107" s="1940"/>
      <c r="K107" s="1941"/>
      <c r="L107" s="1942" t="s">
        <v>1891</v>
      </c>
      <c r="M107" s="1942"/>
      <c r="N107" s="1942"/>
      <c r="O107" s="1942"/>
      <c r="P107" s="1942"/>
      <c r="Q107" s="1943"/>
      <c r="R107" s="1944"/>
      <c r="S107" s="1944"/>
      <c r="T107" s="1944"/>
      <c r="U107" s="1944"/>
      <c r="V107" s="1646">
        <v>0</v>
      </c>
      <c r="W107" s="1646"/>
      <c r="X107" s="1646"/>
      <c r="Y107" s="1646"/>
      <c r="Z107" s="1647"/>
      <c r="AA107" s="126"/>
      <c r="AB107" s="126"/>
      <c r="AC107" s="126"/>
      <c r="AD107" s="126"/>
      <c r="AE107" s="126"/>
      <c r="AF107" s="126"/>
      <c r="AG107" s="126"/>
      <c r="AH107" s="126"/>
      <c r="AI107" s="126"/>
      <c r="AJ107" s="126"/>
      <c r="AK107" s="126"/>
      <c r="AL107" s="126"/>
      <c r="AM107" s="126"/>
      <c r="AN107" s="126"/>
      <c r="AO107" s="126"/>
      <c r="AP107" s="126"/>
      <c r="AQ107" s="126"/>
      <c r="AR107" s="126"/>
      <c r="AS107" s="126"/>
      <c r="AT107" s="595"/>
      <c r="AU107" s="171"/>
      <c r="BX107" s="4"/>
      <c r="BZ107" s="89" t="s">
        <v>5583</v>
      </c>
      <c r="CA107" s="369" t="s">
        <v>5583</v>
      </c>
      <c r="CB107" s="82" t="s">
        <v>5584</v>
      </c>
      <c r="CD107" s="108"/>
      <c r="CE107" s="108"/>
      <c r="CF107" s="108"/>
      <c r="CH107" s="148" t="s">
        <v>484</v>
      </c>
      <c r="CI107" s="148" t="s">
        <v>22</v>
      </c>
      <c r="CJ107" s="148">
        <v>128</v>
      </c>
      <c r="CK107" s="148" t="s">
        <v>609</v>
      </c>
      <c r="CL107" s="148" t="s">
        <v>362</v>
      </c>
      <c r="CM107" s="148"/>
      <c r="CN107" s="148"/>
      <c r="CO107" s="149" t="s">
        <v>85</v>
      </c>
      <c r="CP107" s="150"/>
      <c r="CQ107" s="2"/>
      <c r="CR107" s="45"/>
      <c r="CS107" s="45"/>
      <c r="CT107" s="45"/>
      <c r="CU107" s="45"/>
      <c r="CV107" s="10"/>
      <c r="CW107" s="32"/>
      <c r="CX107" s="32"/>
      <c r="CY107" s="31"/>
      <c r="CZ107" s="33"/>
      <c r="DA107" s="31"/>
      <c r="DC107" s="32"/>
      <c r="DD107" s="32"/>
      <c r="DE107" s="110"/>
      <c r="DF107" s="64"/>
      <c r="DG107" s="64"/>
      <c r="DH107" s="436" t="s">
        <v>2154</v>
      </c>
      <c r="DI107" s="436" t="s">
        <v>4071</v>
      </c>
      <c r="DJ107" s="436"/>
      <c r="DK107" s="75" t="str">
        <f t="shared" si="14"/>
        <v>93901Q3E</v>
      </c>
      <c r="DL107" s="78" t="s">
        <v>3366</v>
      </c>
      <c r="DM107" s="78" t="s">
        <v>4074</v>
      </c>
      <c r="DN107" s="627" t="str">
        <f>UPPER(ASC(SUBSTITUTE(SUBSTITUTE(SUBSTITUTE(T(記入シート1!I64),"―","ー"),"－","‐"),"～","ー")))</f>
        <v/>
      </c>
      <c r="DO107" s="10"/>
      <c r="DP107" s="10"/>
      <c r="DX107" s="85"/>
      <c r="DY107" s="85"/>
    </row>
    <row r="108" spans="1:129" ht="19.5" hidden="1" customHeight="1">
      <c r="A108" s="354" t="s">
        <v>1234</v>
      </c>
      <c r="B108" s="181"/>
      <c r="C108" s="1637" t="s">
        <v>1952</v>
      </c>
      <c r="D108" s="1638"/>
      <c r="E108" s="1638"/>
      <c r="F108" s="1638"/>
      <c r="G108" s="1638"/>
      <c r="H108" s="1638"/>
      <c r="I108" s="1638"/>
      <c r="J108" s="1638"/>
      <c r="K108" s="1639"/>
      <c r="L108" s="1640" t="s">
        <v>1891</v>
      </c>
      <c r="M108" s="1640"/>
      <c r="N108" s="1640"/>
      <c r="O108" s="1640"/>
      <c r="P108" s="1640"/>
      <c r="Q108" s="1645"/>
      <c r="R108" s="1646"/>
      <c r="S108" s="1646"/>
      <c r="T108" s="1646"/>
      <c r="U108" s="1646"/>
      <c r="V108" s="1646"/>
      <c r="W108" s="1646"/>
      <c r="X108" s="1646"/>
      <c r="Y108" s="1646"/>
      <c r="Z108" s="1647"/>
      <c r="AA108" s="126"/>
      <c r="AB108" s="126"/>
      <c r="AC108" s="126"/>
      <c r="AD108" s="126"/>
      <c r="AE108" s="126"/>
      <c r="AF108" s="126"/>
      <c r="AG108" s="126"/>
      <c r="AH108" s="126"/>
      <c r="AI108" s="126"/>
      <c r="AJ108" s="126"/>
      <c r="AK108" s="126"/>
      <c r="AL108" s="126"/>
      <c r="AM108" s="126"/>
      <c r="AN108" s="126"/>
      <c r="AO108" s="126"/>
      <c r="AP108" s="126"/>
      <c r="AQ108" s="126"/>
      <c r="AR108" s="126"/>
      <c r="AS108" s="126"/>
      <c r="AT108" s="595"/>
      <c r="AU108" s="171"/>
      <c r="AW108" s="307" t="s">
        <v>1063</v>
      </c>
      <c r="AX108" s="309" t="s">
        <v>1057</v>
      </c>
      <c r="AY108" s="309" t="s">
        <v>1058</v>
      </c>
      <c r="AZ108" s="309"/>
      <c r="BA108" s="307" t="s">
        <v>1063</v>
      </c>
      <c r="BB108" s="3"/>
      <c r="BX108" s="4"/>
      <c r="BZ108" s="89" t="s">
        <v>5585</v>
      </c>
      <c r="CA108" s="369" t="s">
        <v>5585</v>
      </c>
      <c r="CB108" s="82" t="s">
        <v>5586</v>
      </c>
      <c r="CD108" s="108"/>
      <c r="CE108" s="108"/>
      <c r="CF108" s="108"/>
      <c r="CH108" s="148" t="s">
        <v>485</v>
      </c>
      <c r="CI108" s="148" t="s">
        <v>63</v>
      </c>
      <c r="CJ108" s="148">
        <v>1</v>
      </c>
      <c r="CK108" s="148" t="s">
        <v>216</v>
      </c>
      <c r="CL108" s="148" t="s">
        <v>362</v>
      </c>
      <c r="CM108" s="148" t="s">
        <v>594</v>
      </c>
      <c r="CN108" s="148"/>
      <c r="CO108" s="149" t="s">
        <v>84</v>
      </c>
      <c r="CP108" s="150"/>
      <c r="CQ108" s="2"/>
      <c r="CR108" s="45"/>
      <c r="CS108" s="45"/>
      <c r="CT108" s="45"/>
      <c r="CU108" s="45"/>
      <c r="CV108" s="10"/>
      <c r="CW108" s="32"/>
      <c r="CX108" s="32"/>
      <c r="CY108" s="31"/>
      <c r="CZ108" s="33"/>
      <c r="DA108" s="31"/>
      <c r="DC108" s="32"/>
      <c r="DD108" s="32"/>
      <c r="DE108" s="110"/>
      <c r="DF108" s="64"/>
      <c r="DG108" s="64"/>
      <c r="DH108" s="436" t="s">
        <v>2154</v>
      </c>
      <c r="DI108" s="436" t="s">
        <v>4072</v>
      </c>
      <c r="DJ108" s="436" t="s">
        <v>3394</v>
      </c>
      <c r="DK108" s="75" t="str">
        <f t="shared" si="14"/>
        <v>93901Q3F</v>
      </c>
      <c r="DL108" s="78" t="s">
        <v>3366</v>
      </c>
      <c r="DM108" s="78" t="s">
        <v>4075</v>
      </c>
      <c r="DN108" s="692" t="str">
        <f>""</f>
        <v/>
      </c>
      <c r="DO108" s="10"/>
      <c r="DP108" s="10"/>
      <c r="DX108" s="85"/>
      <c r="DY108" s="85"/>
    </row>
    <row r="109" spans="1:129" ht="19.5" hidden="1" customHeight="1" thickBot="1">
      <c r="A109" s="354" t="s">
        <v>1234</v>
      </c>
      <c r="B109" s="181"/>
      <c r="C109" s="1637" t="s">
        <v>1953</v>
      </c>
      <c r="D109" s="1638"/>
      <c r="E109" s="1638"/>
      <c r="F109" s="1638"/>
      <c r="G109" s="1638"/>
      <c r="H109" s="1638"/>
      <c r="I109" s="1638"/>
      <c r="J109" s="1638"/>
      <c r="K109" s="1639"/>
      <c r="L109" s="1640" t="s">
        <v>1891</v>
      </c>
      <c r="M109" s="1640"/>
      <c r="N109" s="1640"/>
      <c r="O109" s="1640"/>
      <c r="P109" s="1640"/>
      <c r="Q109" s="1914"/>
      <c r="R109" s="1915"/>
      <c r="S109" s="1915"/>
      <c r="T109" s="1915"/>
      <c r="U109" s="1915"/>
      <c r="V109" s="1915"/>
      <c r="W109" s="1915"/>
      <c r="X109" s="1915"/>
      <c r="Y109" s="1915"/>
      <c r="Z109" s="1916"/>
      <c r="AA109" s="1136" t="s">
        <v>1957</v>
      </c>
      <c r="AB109" s="1136"/>
      <c r="AC109" s="1136"/>
      <c r="AD109" s="1636" t="s">
        <v>1958</v>
      </c>
      <c r="AE109" s="1636"/>
      <c r="AF109" s="1636"/>
      <c r="AG109" s="1636"/>
      <c r="AH109" s="126"/>
      <c r="AI109" s="126"/>
      <c r="AJ109" s="126"/>
      <c r="AK109" s="126"/>
      <c r="AL109" s="126"/>
      <c r="AM109" s="126"/>
      <c r="AN109" s="126"/>
      <c r="AO109" s="126"/>
      <c r="AP109" s="126"/>
      <c r="AQ109" s="126"/>
      <c r="AR109" s="126"/>
      <c r="AS109" s="126"/>
      <c r="AT109" s="595"/>
      <c r="AU109" s="171"/>
      <c r="AV109" s="151" t="b">
        <f>IF(L107="申し込む",TRUE,FALSE)</f>
        <v>0</v>
      </c>
      <c r="AW109" s="307"/>
      <c r="AX109" s="308">
        <f>AV109*Q109</f>
        <v>0</v>
      </c>
      <c r="AY109" s="308">
        <f>AV109*U109</f>
        <v>0</v>
      </c>
      <c r="AZ109" s="309">
        <f>AV109*1</f>
        <v>0</v>
      </c>
      <c r="BA109" s="310" t="s">
        <v>1062</v>
      </c>
      <c r="BB109" s="3" t="s">
        <v>1061</v>
      </c>
      <c r="BX109" s="4"/>
      <c r="BZ109" s="89" t="s">
        <v>5587</v>
      </c>
      <c r="CA109" s="369" t="s">
        <v>5587</v>
      </c>
      <c r="CB109" s="82" t="s">
        <v>5588</v>
      </c>
      <c r="CD109" s="108"/>
      <c r="CE109" s="108"/>
      <c r="CF109" s="108"/>
      <c r="CH109" s="148" t="s">
        <v>486</v>
      </c>
      <c r="CI109" s="148" t="s">
        <v>22</v>
      </c>
      <c r="CJ109" s="148">
        <v>15</v>
      </c>
      <c r="CK109" s="148" t="s">
        <v>362</v>
      </c>
      <c r="CL109" s="148" t="s">
        <v>362</v>
      </c>
      <c r="CM109" s="148"/>
      <c r="CN109" s="148" t="s">
        <v>695</v>
      </c>
      <c r="CO109" s="149" t="s">
        <v>82</v>
      </c>
      <c r="CP109" s="150"/>
      <c r="CQ109" s="2"/>
      <c r="CR109" s="45"/>
      <c r="CS109" s="45"/>
      <c r="CT109" s="45"/>
      <c r="CU109" s="45"/>
      <c r="CV109" s="10"/>
      <c r="CW109" s="32"/>
      <c r="CX109" s="32"/>
      <c r="CY109" s="31"/>
      <c r="CZ109" s="33"/>
      <c r="DA109" s="31"/>
      <c r="DC109" s="32"/>
      <c r="DD109" s="32"/>
      <c r="DE109" s="110"/>
      <c r="DF109" s="64"/>
      <c r="DG109" s="64"/>
      <c r="DH109" s="436" t="s">
        <v>2154</v>
      </c>
      <c r="DI109" s="436" t="s">
        <v>4073</v>
      </c>
      <c r="DJ109" s="436"/>
      <c r="DK109" s="75" t="str">
        <f t="shared" si="14"/>
        <v>93901Q3G</v>
      </c>
      <c r="DL109" s="78" t="s">
        <v>3366</v>
      </c>
      <c r="DM109" s="78" t="s">
        <v>4076</v>
      </c>
      <c r="DN109" s="627" t="str">
        <f>TEXT(Y67*100,"0.00")</f>
        <v>0.00</v>
      </c>
      <c r="DO109" s="10"/>
      <c r="DP109" s="10"/>
      <c r="DX109" s="85"/>
      <c r="DY109" s="85"/>
    </row>
    <row r="110" spans="1:129" ht="19.5" hidden="1" customHeight="1" thickTop="1" thickBot="1">
      <c r="A110" s="354" t="s">
        <v>1234</v>
      </c>
      <c r="B110" s="181"/>
      <c r="C110" s="1637"/>
      <c r="D110" s="1638"/>
      <c r="E110" s="1638"/>
      <c r="F110" s="1638"/>
      <c r="G110" s="1638"/>
      <c r="H110" s="1638"/>
      <c r="I110" s="1638"/>
      <c r="J110" s="1638"/>
      <c r="K110" s="1639"/>
      <c r="L110" s="1640" t="s">
        <v>1891</v>
      </c>
      <c r="M110" s="1640"/>
      <c r="N110" s="1640"/>
      <c r="O110" s="1640"/>
      <c r="P110" s="1640"/>
      <c r="Q110" s="1641"/>
      <c r="R110" s="1642"/>
      <c r="S110" s="1642"/>
      <c r="T110" s="1642"/>
      <c r="U110" s="1642"/>
      <c r="V110" s="1643"/>
      <c r="W110" s="1643"/>
      <c r="X110" s="1643"/>
      <c r="Y110" s="1643"/>
      <c r="Z110" s="1644"/>
      <c r="AA110" s="126"/>
      <c r="AB110" s="126"/>
      <c r="AC110" s="126"/>
      <c r="AD110" s="126"/>
      <c r="AE110" s="126"/>
      <c r="AF110" s="126"/>
      <c r="AG110" s="126"/>
      <c r="AH110" s="126"/>
      <c r="AI110" s="126"/>
      <c r="AJ110" s="126"/>
      <c r="AK110" s="126"/>
      <c r="AL110" s="126"/>
      <c r="AM110" s="126"/>
      <c r="AN110" s="126"/>
      <c r="AO110" s="126"/>
      <c r="AP110" s="126"/>
      <c r="AQ110" s="126"/>
      <c r="AR110" s="126"/>
      <c r="AS110" s="126"/>
      <c r="AT110" s="596"/>
      <c r="AU110" s="171"/>
      <c r="AV110" s="151" t="b">
        <f>IF(L108="申し込む",TRUE,FALSE)</f>
        <v>0</v>
      </c>
      <c r="BX110" s="4"/>
      <c r="BZ110" s="89" t="s">
        <v>5589</v>
      </c>
      <c r="CA110" s="369" t="s">
        <v>5589</v>
      </c>
      <c r="CB110" s="82" t="s">
        <v>5590</v>
      </c>
      <c r="CD110" s="108"/>
      <c r="CE110" s="108"/>
      <c r="CF110" s="108"/>
      <c r="CH110" s="148" t="s">
        <v>487</v>
      </c>
      <c r="CI110" s="148" t="s">
        <v>22</v>
      </c>
      <c r="CJ110" s="148">
        <v>128</v>
      </c>
      <c r="CK110" s="148" t="s">
        <v>362</v>
      </c>
      <c r="CL110" s="148" t="s">
        <v>362</v>
      </c>
      <c r="CM110" s="148"/>
      <c r="CN110" s="148" t="s">
        <v>696</v>
      </c>
      <c r="CO110" s="215" t="s">
        <v>81</v>
      </c>
      <c r="CP110" s="150"/>
      <c r="CQ110" s="2"/>
      <c r="CR110" s="45"/>
      <c r="CS110" s="45"/>
      <c r="CT110" s="45"/>
      <c r="CU110" s="45"/>
      <c r="CV110" s="10"/>
      <c r="CW110" s="32"/>
      <c r="CX110" s="32"/>
      <c r="CY110" s="31"/>
      <c r="CZ110" s="33"/>
      <c r="DA110" s="31"/>
      <c r="DC110" s="32"/>
      <c r="DD110" s="32"/>
      <c r="DE110" s="87"/>
      <c r="DF110" s="64"/>
      <c r="DG110" s="64"/>
      <c r="DH110" s="836" t="s">
        <v>3778</v>
      </c>
      <c r="DI110" s="836" t="s">
        <v>2173</v>
      </c>
      <c r="DJ110" s="837"/>
      <c r="DK110" s="75" t="str">
        <f t="shared" ref="DK110:DK173" si="24">DL110&amp;DM110</f>
        <v>94001Q44</v>
      </c>
      <c r="DL110" s="78" t="s">
        <v>3787</v>
      </c>
      <c r="DM110" s="78" t="s">
        <v>3788</v>
      </c>
      <c r="DN110" s="627" t="str">
        <f>T(記入シート1!I67)</f>
        <v/>
      </c>
      <c r="DO110" s="10"/>
      <c r="DP110" s="10"/>
      <c r="DX110" s="85"/>
      <c r="DY110" s="85"/>
    </row>
    <row r="111" spans="1:129" ht="19.5" customHeight="1" thickBot="1">
      <c r="A111" s="354"/>
      <c r="B111" s="181"/>
      <c r="AT111" s="669"/>
      <c r="AU111" s="171"/>
      <c r="AV111" s="151" t="b">
        <f>IF(L109="申し込む",TRUE,FALSE)</f>
        <v>0</v>
      </c>
      <c r="AW111" s="20">
        <f>IF(AD109="docomo",1,IF(AD109="SoftBank",2,0))</f>
        <v>1</v>
      </c>
      <c r="BX111" s="4"/>
      <c r="BZ111" s="89" t="s">
        <v>5591</v>
      </c>
      <c r="CA111" s="369" t="s">
        <v>5591</v>
      </c>
      <c r="CB111" s="82" t="s">
        <v>5592</v>
      </c>
      <c r="CD111" s="108"/>
      <c r="CE111" s="108"/>
      <c r="CF111" s="108"/>
      <c r="CH111" s="148" t="s">
        <v>488</v>
      </c>
      <c r="CI111" s="148" t="s">
        <v>63</v>
      </c>
      <c r="CJ111" s="148">
        <v>1</v>
      </c>
      <c r="CK111" s="148" t="s">
        <v>83</v>
      </c>
      <c r="CL111" s="148" t="s">
        <v>362</v>
      </c>
      <c r="CM111" s="148" t="s">
        <v>489</v>
      </c>
      <c r="CN111" s="148" t="s">
        <v>610</v>
      </c>
      <c r="CO111" s="149" t="s">
        <v>80</v>
      </c>
      <c r="CP111" s="150"/>
      <c r="CQ111" s="2"/>
      <c r="CR111" s="45"/>
      <c r="CS111" s="45"/>
      <c r="CT111" s="45"/>
      <c r="CU111" s="45"/>
      <c r="CV111" s="10"/>
      <c r="CW111" s="32"/>
      <c r="CX111" s="32"/>
      <c r="CY111" s="31"/>
      <c r="CZ111" s="33"/>
      <c r="DA111" s="31"/>
      <c r="DC111" s="32"/>
      <c r="DD111" s="32"/>
      <c r="DE111" s="87"/>
      <c r="DF111" s="64"/>
      <c r="DG111" s="64"/>
      <c r="DH111" s="836" t="s">
        <v>3778</v>
      </c>
      <c r="DI111" s="836" t="s">
        <v>3238</v>
      </c>
      <c r="DJ111" s="837"/>
      <c r="DK111" s="75" t="str">
        <f t="shared" si="24"/>
        <v>94001Q45</v>
      </c>
      <c r="DL111" s="78" t="s">
        <v>3787</v>
      </c>
      <c r="DM111" s="78" t="s">
        <v>3789</v>
      </c>
      <c r="DN111" s="627" t="str">
        <f>T(記入シート1!I66)</f>
        <v/>
      </c>
      <c r="DO111" s="10"/>
      <c r="DP111" s="10"/>
      <c r="DX111" s="85"/>
      <c r="DY111" s="85"/>
    </row>
    <row r="112" spans="1:129" ht="19.5" customHeight="1" thickTop="1">
      <c r="A112" s="354"/>
      <c r="B112" s="181"/>
      <c r="C112" s="1874" t="s">
        <v>1970</v>
      </c>
      <c r="D112" s="1875"/>
      <c r="E112" s="1875"/>
      <c r="F112" s="1875"/>
      <c r="G112" s="1875"/>
      <c r="H112" s="1875"/>
      <c r="I112" s="1875"/>
      <c r="J112" s="944"/>
      <c r="K112" s="1875"/>
      <c r="L112" s="1875"/>
      <c r="M112" s="1875"/>
      <c r="N112" s="1875"/>
      <c r="O112" s="1875"/>
      <c r="P112" s="1875"/>
      <c r="Q112" s="1875"/>
      <c r="R112" s="1875"/>
      <c r="S112" s="1875"/>
      <c r="T112" s="1875"/>
      <c r="U112" s="1875"/>
      <c r="V112" s="2958" t="s">
        <v>5059</v>
      </c>
      <c r="W112" s="2959"/>
      <c r="X112" s="2959"/>
      <c r="Y112" s="2959"/>
      <c r="Z112" s="2959"/>
      <c r="AA112" s="2959"/>
      <c r="AB112" s="2960"/>
      <c r="AC112" s="384"/>
      <c r="AD112" s="384"/>
      <c r="AE112" s="384"/>
      <c r="AF112" s="384"/>
      <c r="AG112" s="384"/>
      <c r="AH112" s="384"/>
      <c r="AI112" s="384"/>
      <c r="AJ112" s="384"/>
      <c r="AK112" s="384"/>
      <c r="AL112" s="384"/>
      <c r="AM112" s="384"/>
      <c r="AN112" s="384"/>
      <c r="AO112" s="384"/>
      <c r="AP112" s="384"/>
      <c r="AQ112" s="384"/>
      <c r="AR112" s="384"/>
      <c r="AS112" s="384"/>
      <c r="AT112" s="851"/>
      <c r="AU112" s="171"/>
      <c r="BX112" s="4"/>
      <c r="BZ112" s="89" t="s">
        <v>5593</v>
      </c>
      <c r="CA112" s="369" t="s">
        <v>5593</v>
      </c>
      <c r="CB112" s="82" t="s">
        <v>5594</v>
      </c>
      <c r="CD112" s="108"/>
      <c r="CE112" s="108"/>
      <c r="CF112" s="108"/>
      <c r="CH112" s="148" t="s">
        <v>490</v>
      </c>
      <c r="CI112" s="148" t="s">
        <v>21</v>
      </c>
      <c r="CJ112" s="148">
        <v>60</v>
      </c>
      <c r="CK112" s="148" t="s">
        <v>83</v>
      </c>
      <c r="CL112" s="148" t="s">
        <v>83</v>
      </c>
      <c r="CM112" s="148"/>
      <c r="CN112" s="148" t="s">
        <v>611</v>
      </c>
      <c r="CO112" s="149" t="s">
        <v>79</v>
      </c>
      <c r="CP112" s="150"/>
      <c r="CQ112" s="2"/>
      <c r="CR112" s="45"/>
      <c r="CS112" s="45"/>
      <c r="CT112" s="45"/>
      <c r="CU112" s="45"/>
      <c r="CV112" s="10"/>
      <c r="CW112" s="32"/>
      <c r="CX112" s="32"/>
      <c r="CY112" s="31"/>
      <c r="CZ112" s="33"/>
      <c r="DA112" s="31"/>
      <c r="DC112" s="32"/>
      <c r="DD112" s="32"/>
      <c r="DE112" s="87"/>
      <c r="DF112" s="64"/>
      <c r="DG112" s="64"/>
      <c r="DH112" s="836" t="s">
        <v>3778</v>
      </c>
      <c r="DI112" s="836" t="s">
        <v>3784</v>
      </c>
      <c r="DJ112" s="837"/>
      <c r="DK112" s="75" t="str">
        <f t="shared" si="24"/>
        <v>94001Q46</v>
      </c>
      <c r="DL112" s="78" t="s">
        <v>3787</v>
      </c>
      <c r="DM112" s="78" t="s">
        <v>3790</v>
      </c>
      <c r="DN112" s="627" t="str">
        <f>IF(OR(AV72="00",AV72=""),"",ASC(AV72))</f>
        <v>15</v>
      </c>
      <c r="DO112" s="10"/>
      <c r="DP112" s="10"/>
      <c r="DX112" s="85"/>
      <c r="DY112" s="85"/>
    </row>
    <row r="113" spans="1:129" ht="19.5" hidden="1" customHeight="1">
      <c r="A113" s="354" t="s">
        <v>1234</v>
      </c>
      <c r="B113" s="181"/>
      <c r="C113" s="1876" t="s">
        <v>4875</v>
      </c>
      <c r="D113" s="1877"/>
      <c r="E113" s="1877"/>
      <c r="F113" s="1877"/>
      <c r="G113" s="1877"/>
      <c r="H113" s="1877"/>
      <c r="I113" s="1877"/>
      <c r="J113" s="959"/>
      <c r="K113" s="960"/>
      <c r="L113" s="946"/>
      <c r="M113" s="946"/>
      <c r="N113" s="946"/>
      <c r="O113" s="946"/>
      <c r="P113" s="946"/>
      <c r="Q113" s="946"/>
      <c r="R113" s="946"/>
      <c r="S113" s="946"/>
      <c r="T113" s="946"/>
      <c r="U113" s="946"/>
      <c r="V113" s="1878">
        <v>0</v>
      </c>
      <c r="W113" s="1879"/>
      <c r="X113" s="1879"/>
      <c r="Y113" s="1879"/>
      <c r="Z113" s="2339"/>
      <c r="AA113" s="2914"/>
      <c r="AB113" s="2915"/>
      <c r="AC113" s="249"/>
      <c r="AD113" s="249"/>
      <c r="AE113" s="962"/>
      <c r="AF113" s="249"/>
      <c r="AS113" s="249"/>
      <c r="AT113" s="250"/>
      <c r="AU113" s="171"/>
      <c r="BX113" s="4"/>
      <c r="BZ113" s="89" t="s">
        <v>5595</v>
      </c>
      <c r="CA113" s="369" t="s">
        <v>5595</v>
      </c>
      <c r="CB113" s="82" t="s">
        <v>5596</v>
      </c>
      <c r="CD113" s="108"/>
      <c r="CE113" s="108"/>
      <c r="CF113" s="108"/>
      <c r="CH113" s="148" t="s">
        <v>491</v>
      </c>
      <c r="CI113" s="148" t="s">
        <v>21</v>
      </c>
      <c r="CJ113" s="148">
        <v>255</v>
      </c>
      <c r="CK113" s="148" t="s">
        <v>432</v>
      </c>
      <c r="CL113" s="148" t="s">
        <v>432</v>
      </c>
      <c r="CM113" s="148"/>
      <c r="CN113" s="148" t="s">
        <v>611</v>
      </c>
      <c r="CO113" s="149" t="s">
        <v>78</v>
      </c>
      <c r="CP113" s="150"/>
      <c r="CQ113" s="2"/>
      <c r="CR113" s="45"/>
      <c r="CS113" s="45"/>
      <c r="CT113" s="45"/>
      <c r="CU113" s="45"/>
      <c r="CV113" s="10"/>
      <c r="CW113" s="32"/>
      <c r="CX113" s="32"/>
      <c r="CY113" s="31"/>
      <c r="CZ113" s="33"/>
      <c r="DA113" s="31"/>
      <c r="DC113" s="32"/>
      <c r="DD113" s="32"/>
      <c r="DE113" s="87"/>
      <c r="DF113" s="64"/>
      <c r="DG113" s="64"/>
      <c r="DH113" s="836" t="s">
        <v>3778</v>
      </c>
      <c r="DI113" s="836" t="s">
        <v>3785</v>
      </c>
      <c r="DJ113" s="837" t="s">
        <v>3786</v>
      </c>
      <c r="DK113" s="75" t="str">
        <f t="shared" si="24"/>
        <v>94001Q47</v>
      </c>
      <c r="DL113" s="78" t="s">
        <v>3787</v>
      </c>
      <c r="DM113" s="78" t="s">
        <v>3791</v>
      </c>
      <c r="DN113" s="627" t="str">
        <f>IF(AW72=1,"1",IF(AW72=2,"2","3"))</f>
        <v>3</v>
      </c>
      <c r="DO113" s="10"/>
      <c r="DP113" s="10"/>
      <c r="DX113" s="85"/>
      <c r="DY113" s="85"/>
    </row>
    <row r="114" spans="1:129" ht="19.5" customHeight="1">
      <c r="A114" s="354"/>
      <c r="B114" s="181"/>
      <c r="C114" s="1621" t="s">
        <v>5052</v>
      </c>
      <c r="D114" s="1622"/>
      <c r="E114" s="1622"/>
      <c r="F114" s="1622"/>
      <c r="G114" s="1622"/>
      <c r="H114" s="1622"/>
      <c r="I114" s="1622"/>
      <c r="J114" s="1659" t="s">
        <v>5053</v>
      </c>
      <c r="K114" s="1659"/>
      <c r="L114" s="1659"/>
      <c r="M114" s="1659"/>
      <c r="N114" s="1659"/>
      <c r="O114" s="1659"/>
      <c r="P114" s="1659"/>
      <c r="Q114" s="1659"/>
      <c r="R114" s="1659"/>
      <c r="S114" s="1659"/>
      <c r="T114" s="1659"/>
      <c r="U114" s="1660"/>
      <c r="V114" s="1661">
        <v>980</v>
      </c>
      <c r="W114" s="1662"/>
      <c r="X114" s="1662"/>
      <c r="Y114" s="1662"/>
      <c r="Z114" s="1662"/>
      <c r="AA114" s="1883" t="s">
        <v>5089</v>
      </c>
      <c r="AB114" s="1884"/>
      <c r="AT114" s="902"/>
      <c r="AU114" s="171"/>
      <c r="AV114" s="531">
        <f>IF(OR(AV158=1,AV158=3),V114,0)</f>
        <v>0</v>
      </c>
      <c r="AW114" s="20" t="s">
        <v>5085</v>
      </c>
      <c r="BX114" s="4"/>
      <c r="BZ114" s="89" t="s">
        <v>5597</v>
      </c>
      <c r="CA114" s="369" t="s">
        <v>5597</v>
      </c>
      <c r="CB114" s="82" t="s">
        <v>5598</v>
      </c>
      <c r="CD114" s="108"/>
      <c r="CE114" s="108"/>
      <c r="CF114" s="108"/>
      <c r="CH114" s="148" t="s">
        <v>492</v>
      </c>
      <c r="CI114" s="148" t="s">
        <v>21</v>
      </c>
      <c r="CJ114" s="148">
        <v>255</v>
      </c>
      <c r="CK114" s="148" t="s">
        <v>362</v>
      </c>
      <c r="CL114" s="148" t="s">
        <v>362</v>
      </c>
      <c r="CM114" s="148"/>
      <c r="CN114" s="148" t="s">
        <v>610</v>
      </c>
      <c r="CO114" s="149" t="s">
        <v>77</v>
      </c>
      <c r="CP114" s="150"/>
      <c r="CQ114" s="2"/>
      <c r="CR114" s="45"/>
      <c r="CS114" s="45"/>
      <c r="CT114" s="45"/>
      <c r="CU114" s="45"/>
      <c r="CV114" s="10"/>
      <c r="CW114" s="32"/>
      <c r="CX114" s="32"/>
      <c r="CY114" s="31"/>
      <c r="CZ114" s="33"/>
      <c r="DA114" s="31"/>
      <c r="DC114" s="32"/>
      <c r="DD114" s="32"/>
      <c r="DE114" s="87"/>
      <c r="DF114" s="64"/>
      <c r="DG114" s="64"/>
      <c r="DH114" s="436" t="s">
        <v>3629</v>
      </c>
      <c r="DI114" s="436" t="s">
        <v>2173</v>
      </c>
      <c r="DJ114" s="436"/>
      <c r="DK114" s="75" t="str">
        <f t="shared" si="24"/>
        <v>93501PZB</v>
      </c>
      <c r="DL114" s="78" t="s">
        <v>2183</v>
      </c>
      <c r="DM114" s="78" t="s">
        <v>3630</v>
      </c>
      <c r="DN114" s="627" t="str">
        <f>T(記入シート1!I67)</f>
        <v/>
      </c>
      <c r="DO114" s="10"/>
      <c r="DP114" s="10"/>
      <c r="DX114" s="85"/>
      <c r="DY114" s="85"/>
    </row>
    <row r="115" spans="1:129" ht="19.5" customHeight="1">
      <c r="A115" s="354"/>
      <c r="B115" s="181"/>
      <c r="C115" s="1623"/>
      <c r="D115" s="1624"/>
      <c r="E115" s="1624"/>
      <c r="F115" s="1624"/>
      <c r="G115" s="1624"/>
      <c r="H115" s="1624"/>
      <c r="I115" s="1624"/>
      <c r="J115" s="1659" t="s">
        <v>5054</v>
      </c>
      <c r="K115" s="1659"/>
      <c r="L115" s="1659"/>
      <c r="M115" s="1659"/>
      <c r="N115" s="1659"/>
      <c r="O115" s="1659"/>
      <c r="P115" s="1659"/>
      <c r="Q115" s="1659"/>
      <c r="R115" s="1659"/>
      <c r="S115" s="1659"/>
      <c r="T115" s="1659"/>
      <c r="U115" s="1660"/>
      <c r="V115" s="1881">
        <v>980</v>
      </c>
      <c r="W115" s="1882"/>
      <c r="X115" s="1882"/>
      <c r="Y115" s="1882"/>
      <c r="Z115" s="1882"/>
      <c r="AA115" s="1883" t="s">
        <v>5090</v>
      </c>
      <c r="AB115" s="1884"/>
      <c r="AT115" s="902"/>
      <c r="AU115" s="171"/>
      <c r="AV115" s="531">
        <f>IF(AV158=2,V115,0)</f>
        <v>980</v>
      </c>
      <c r="AW115" s="20" t="s">
        <v>5085</v>
      </c>
      <c r="BX115" s="4"/>
      <c r="BZ115" s="89" t="s">
        <v>5599</v>
      </c>
      <c r="CA115" s="369" t="s">
        <v>5599</v>
      </c>
      <c r="CB115" s="82" t="s">
        <v>5600</v>
      </c>
      <c r="CD115" s="108"/>
      <c r="CE115" s="108"/>
      <c r="CF115" s="108"/>
      <c r="CH115" s="148" t="s">
        <v>493</v>
      </c>
      <c r="CI115" s="148" t="s">
        <v>21</v>
      </c>
      <c r="CJ115" s="148">
        <v>40</v>
      </c>
      <c r="CK115" s="148" t="s">
        <v>494</v>
      </c>
      <c r="CL115" s="148" t="s">
        <v>494</v>
      </c>
      <c r="CM115" s="148"/>
      <c r="CN115" s="148" t="s">
        <v>612</v>
      </c>
      <c r="CO115" s="149" t="s">
        <v>495</v>
      </c>
      <c r="CP115" s="150"/>
      <c r="CQ115" s="2"/>
      <c r="CR115" s="45"/>
      <c r="CS115" s="45"/>
      <c r="CT115" s="45"/>
      <c r="CU115" s="45"/>
      <c r="CV115" s="10"/>
      <c r="CW115" s="32"/>
      <c r="CX115" s="32"/>
      <c r="CY115" s="31"/>
      <c r="CZ115" s="33"/>
      <c r="DA115" s="31"/>
      <c r="DC115" s="32"/>
      <c r="DD115" s="32"/>
      <c r="DE115" s="87"/>
      <c r="DF115" s="64"/>
      <c r="DG115" s="64"/>
      <c r="DH115" s="436" t="s">
        <v>2153</v>
      </c>
      <c r="DI115" s="436" t="s">
        <v>2173</v>
      </c>
      <c r="DJ115" s="436"/>
      <c r="DK115" s="75" t="str">
        <f t="shared" si="24"/>
        <v>93801Q26</v>
      </c>
      <c r="DL115" s="78" t="s">
        <v>3360</v>
      </c>
      <c r="DM115" s="78" t="s">
        <v>3631</v>
      </c>
      <c r="DN115" s="627" t="str">
        <f>T(記入シート1!I67)</f>
        <v/>
      </c>
      <c r="DO115" s="10"/>
      <c r="DP115" s="10"/>
      <c r="DX115" s="85"/>
      <c r="DY115" s="85"/>
    </row>
    <row r="116" spans="1:129" ht="19.5" customHeight="1">
      <c r="A116" s="354"/>
      <c r="B116" s="181"/>
      <c r="C116" s="1623"/>
      <c r="D116" s="1624"/>
      <c r="E116" s="1624"/>
      <c r="F116" s="1624"/>
      <c r="G116" s="1624"/>
      <c r="H116" s="1624"/>
      <c r="I116" s="1624"/>
      <c r="J116" s="1659" t="s">
        <v>5055</v>
      </c>
      <c r="K116" s="1659"/>
      <c r="L116" s="1659"/>
      <c r="M116" s="1659"/>
      <c r="N116" s="1659"/>
      <c r="O116" s="1659"/>
      <c r="P116" s="1659"/>
      <c r="Q116" s="1659"/>
      <c r="R116" s="1659"/>
      <c r="S116" s="1659"/>
      <c r="T116" s="1659"/>
      <c r="U116" s="1660"/>
      <c r="V116" s="1661">
        <v>1000</v>
      </c>
      <c r="W116" s="1662"/>
      <c r="X116" s="1662"/>
      <c r="Y116" s="1662"/>
      <c r="Z116" s="1662"/>
      <c r="AA116" s="1885" t="s">
        <v>5088</v>
      </c>
      <c r="AB116" s="1886"/>
      <c r="AC116" s="963"/>
      <c r="AD116" s="964"/>
      <c r="AE116" s="964"/>
      <c r="AF116" s="964"/>
      <c r="AG116" s="965"/>
      <c r="AH116" s="965"/>
      <c r="AI116" s="965"/>
      <c r="AJ116" s="965"/>
      <c r="AK116" s="965"/>
      <c r="AL116" s="965"/>
      <c r="AM116" s="965"/>
      <c r="AN116" s="965"/>
      <c r="AO116" s="965"/>
      <c r="AP116" s="965"/>
      <c r="AQ116" s="965"/>
      <c r="AR116" s="965"/>
      <c r="AS116" s="965"/>
      <c r="AT116" s="966"/>
      <c r="AU116" s="171"/>
      <c r="AV116" s="531">
        <f>IF(AV28=TRUE,V116,0)</f>
        <v>0</v>
      </c>
      <c r="AW116" s="20" t="s">
        <v>5085</v>
      </c>
      <c r="BY116" s="4"/>
      <c r="BZ116" s="89" t="s">
        <v>5601</v>
      </c>
      <c r="CA116" s="369" t="s">
        <v>5601</v>
      </c>
      <c r="CB116" s="82" t="s">
        <v>5602</v>
      </c>
      <c r="CD116" s="108"/>
      <c r="CE116" s="108"/>
      <c r="CF116" s="108"/>
      <c r="CH116" s="148" t="s">
        <v>496</v>
      </c>
      <c r="CI116" s="148" t="s">
        <v>63</v>
      </c>
      <c r="CJ116" s="148">
        <v>1</v>
      </c>
      <c r="CK116" s="148" t="s">
        <v>362</v>
      </c>
      <c r="CL116" s="148" t="s">
        <v>362</v>
      </c>
      <c r="CM116" s="148" t="s">
        <v>497</v>
      </c>
      <c r="CN116" s="148" t="s">
        <v>610</v>
      </c>
      <c r="CO116" s="149" t="s">
        <v>76</v>
      </c>
      <c r="CP116" s="150"/>
      <c r="CQ116" s="2"/>
      <c r="CR116" s="45"/>
      <c r="CS116" s="45"/>
      <c r="CT116" s="45"/>
      <c r="CU116" s="45"/>
      <c r="CV116" s="10"/>
      <c r="CW116" s="32"/>
      <c r="CX116" s="32"/>
      <c r="CY116" s="31"/>
      <c r="CZ116" s="33"/>
      <c r="DA116" s="31"/>
      <c r="DC116" s="32"/>
      <c r="DD116" s="32"/>
      <c r="DE116" s="87"/>
      <c r="DF116" s="64"/>
      <c r="DG116" s="64"/>
      <c r="DH116" s="436" t="s">
        <v>2156</v>
      </c>
      <c r="DI116" s="436" t="s">
        <v>2173</v>
      </c>
      <c r="DJ116" s="436"/>
      <c r="DK116" s="75" t="str">
        <f t="shared" si="24"/>
        <v>94101Q52</v>
      </c>
      <c r="DL116" s="78" t="s">
        <v>3556</v>
      </c>
      <c r="DM116" s="78" t="s">
        <v>3557</v>
      </c>
      <c r="DN116" s="627" t="str">
        <f>T(記入シート1!I67)</f>
        <v/>
      </c>
      <c r="DO116" s="10"/>
      <c r="DP116" s="10"/>
      <c r="DX116" s="85"/>
      <c r="DY116" s="85"/>
    </row>
    <row r="117" spans="1:129" ht="19.5" customHeight="1">
      <c r="A117" s="354"/>
      <c r="B117" s="181"/>
      <c r="C117" s="1623"/>
      <c r="D117" s="1624"/>
      <c r="E117" s="1624"/>
      <c r="F117" s="1624"/>
      <c r="G117" s="1624"/>
      <c r="H117" s="1624"/>
      <c r="I117" s="1624"/>
      <c r="J117" s="1659" t="s">
        <v>5056</v>
      </c>
      <c r="K117" s="1659"/>
      <c r="L117" s="1659"/>
      <c r="M117" s="1659"/>
      <c r="N117" s="1659"/>
      <c r="O117" s="1659"/>
      <c r="P117" s="1659"/>
      <c r="Q117" s="1659"/>
      <c r="R117" s="1659"/>
      <c r="S117" s="1659"/>
      <c r="T117" s="1659"/>
      <c r="U117" s="1660"/>
      <c r="V117" s="1661">
        <v>0</v>
      </c>
      <c r="W117" s="1662"/>
      <c r="X117" s="1662"/>
      <c r="Y117" s="1662"/>
      <c r="Z117" s="1662"/>
      <c r="AA117" s="1883" t="s">
        <v>5086</v>
      </c>
      <c r="AB117" s="1884"/>
      <c r="AC117" s="112"/>
      <c r="AD117" s="112"/>
      <c r="AE117" s="112"/>
      <c r="AF117" s="112"/>
      <c r="AG117" s="112"/>
      <c r="AH117" s="112"/>
      <c r="AI117" s="112"/>
      <c r="AJ117" s="112"/>
      <c r="AK117" s="112"/>
      <c r="AT117" s="902"/>
      <c r="AU117" s="171"/>
      <c r="AV117" s="531">
        <f>IF(OR(AV84=2,AV84=3),V117,0)</f>
        <v>0</v>
      </c>
      <c r="AW117" s="20" t="s">
        <v>5085</v>
      </c>
      <c r="BY117" s="4"/>
      <c r="BZ117" s="89" t="s">
        <v>5603</v>
      </c>
      <c r="CA117" s="369" t="s">
        <v>5603</v>
      </c>
      <c r="CB117" s="82" t="s">
        <v>5604</v>
      </c>
      <c r="CD117" s="108"/>
      <c r="CE117" s="108"/>
      <c r="CF117" s="108"/>
      <c r="CH117" s="148" t="s">
        <v>498</v>
      </c>
      <c r="CI117" s="148" t="s">
        <v>21</v>
      </c>
      <c r="CJ117" s="148">
        <v>255</v>
      </c>
      <c r="CK117" s="148" t="s">
        <v>362</v>
      </c>
      <c r="CL117" s="148" t="s">
        <v>362</v>
      </c>
      <c r="CM117" s="148"/>
      <c r="CN117" s="148" t="s">
        <v>613</v>
      </c>
      <c r="CO117" s="149" t="s">
        <v>75</v>
      </c>
      <c r="CP117" s="150"/>
      <c r="CQ117" s="2"/>
      <c r="CR117" s="45"/>
      <c r="CS117" s="45"/>
      <c r="CT117" s="45"/>
      <c r="CU117" s="45"/>
      <c r="CV117" s="10"/>
      <c r="CW117" s="32"/>
      <c r="CX117" s="32"/>
      <c r="CY117" s="31"/>
      <c r="CZ117" s="33"/>
      <c r="DA117" s="31"/>
      <c r="DC117" s="32"/>
      <c r="DD117" s="32"/>
      <c r="DE117" s="87"/>
      <c r="DF117" s="64"/>
      <c r="DG117" s="64"/>
      <c r="DH117" s="436" t="s">
        <v>2156</v>
      </c>
      <c r="DI117" s="436" t="s">
        <v>3238</v>
      </c>
      <c r="DJ117" s="436"/>
      <c r="DK117" s="75" t="str">
        <f t="shared" si="24"/>
        <v>94101Q53</v>
      </c>
      <c r="DL117" s="78" t="s">
        <v>3556</v>
      </c>
      <c r="DM117" s="78" t="s">
        <v>3558</v>
      </c>
      <c r="DN117" s="627" t="str">
        <f>T(記入シート1!I66)</f>
        <v/>
      </c>
      <c r="DO117" s="10"/>
      <c r="DP117" s="10"/>
      <c r="DX117" s="85"/>
      <c r="DY117" s="85"/>
    </row>
    <row r="118" spans="1:129" ht="19.5" customHeight="1" thickBot="1">
      <c r="A118" s="354"/>
      <c r="B118" s="181"/>
      <c r="C118" s="1623"/>
      <c r="D118" s="1624"/>
      <c r="E118" s="1624"/>
      <c r="F118" s="1624"/>
      <c r="G118" s="1624"/>
      <c r="H118" s="1624"/>
      <c r="I118" s="1624"/>
      <c r="J118" s="1663" t="s">
        <v>5057</v>
      </c>
      <c r="K118" s="1663"/>
      <c r="L118" s="1663"/>
      <c r="M118" s="1663"/>
      <c r="N118" s="1663"/>
      <c r="O118" s="1663"/>
      <c r="P118" s="1663"/>
      <c r="Q118" s="1663"/>
      <c r="R118" s="1663"/>
      <c r="S118" s="1663"/>
      <c r="T118" s="1663"/>
      <c r="U118" s="1664"/>
      <c r="V118" s="1665">
        <v>0</v>
      </c>
      <c r="W118" s="1666"/>
      <c r="X118" s="1666"/>
      <c r="Y118" s="1666"/>
      <c r="Z118" s="1666"/>
      <c r="AA118" s="1887" t="s">
        <v>5091</v>
      </c>
      <c r="AB118" s="1888"/>
      <c r="AC118" s="597"/>
      <c r="AD118" s="597"/>
      <c r="AE118" s="597"/>
      <c r="AF118" s="597"/>
      <c r="AG118" s="598"/>
      <c r="AH118" s="598"/>
      <c r="AI118" s="598"/>
      <c r="AJ118" s="598"/>
      <c r="AK118" s="598"/>
      <c r="AL118" s="598"/>
      <c r="AM118" s="598"/>
      <c r="AN118" s="598"/>
      <c r="AO118" s="598"/>
      <c r="AP118" s="598"/>
      <c r="AQ118" s="598"/>
      <c r="AR118" s="598"/>
      <c r="AS118" s="598"/>
      <c r="AT118" s="599"/>
      <c r="AU118" s="171"/>
      <c r="AV118" s="531">
        <f>IF(AV42=TRUE,V118,0)</f>
        <v>0</v>
      </c>
      <c r="AW118" s="20" t="s">
        <v>5085</v>
      </c>
      <c r="BY118" s="4"/>
      <c r="BZ118" s="89" t="s">
        <v>5605</v>
      </c>
      <c r="CA118" s="369" t="s">
        <v>5605</v>
      </c>
      <c r="CB118" s="82" t="s">
        <v>5606</v>
      </c>
      <c r="CD118" s="108"/>
      <c r="CE118" s="108"/>
      <c r="CF118" s="108"/>
      <c r="CH118" s="148" t="s">
        <v>499</v>
      </c>
      <c r="CI118" s="148" t="s">
        <v>63</v>
      </c>
      <c r="CJ118" s="148">
        <v>1</v>
      </c>
      <c r="CK118" s="148" t="s">
        <v>500</v>
      </c>
      <c r="CL118" s="148" t="s">
        <v>500</v>
      </c>
      <c r="CM118" s="148" t="s">
        <v>501</v>
      </c>
      <c r="CN118" s="148" t="s">
        <v>610</v>
      </c>
      <c r="CO118" s="149" t="s">
        <v>74</v>
      </c>
      <c r="CP118" s="150"/>
      <c r="CQ118" s="2"/>
      <c r="CR118" s="45"/>
      <c r="CS118" s="45"/>
      <c r="CT118" s="45"/>
      <c r="CU118" s="45"/>
      <c r="CV118" s="10"/>
      <c r="CW118" s="32"/>
      <c r="CX118" s="32"/>
      <c r="CY118" s="31"/>
      <c r="CZ118" s="33"/>
      <c r="DA118" s="31"/>
      <c r="DC118" s="32"/>
      <c r="DD118" s="32"/>
      <c r="DE118" s="87"/>
      <c r="DF118" s="64"/>
      <c r="DG118" s="64"/>
      <c r="DH118" s="436" t="s">
        <v>2156</v>
      </c>
      <c r="DI118" s="436" t="s">
        <v>3550</v>
      </c>
      <c r="DJ118" s="436"/>
      <c r="DK118" s="75" t="str">
        <f t="shared" si="24"/>
        <v>94101Q54</v>
      </c>
      <c r="DL118" s="78" t="s">
        <v>3556</v>
      </c>
      <c r="DM118" s="78" t="s">
        <v>3559</v>
      </c>
      <c r="DN118" s="627" t="str">
        <f>IF(OR(AV76="0000",AV76=""),"",ASC(AV76))</f>
        <v>1800</v>
      </c>
      <c r="DO118" s="10"/>
      <c r="DP118" s="10"/>
      <c r="DV118" s="21"/>
      <c r="DX118" s="85"/>
      <c r="DY118" s="85"/>
    </row>
    <row r="119" spans="1:129" ht="19.5" customHeight="1">
      <c r="A119" s="354"/>
      <c r="B119" s="181"/>
      <c r="C119" s="1623"/>
      <c r="D119" s="1624"/>
      <c r="E119" s="1624"/>
      <c r="F119" s="1624"/>
      <c r="G119" s="1624"/>
      <c r="H119" s="1624"/>
      <c r="I119" s="1624"/>
      <c r="J119" s="1667" t="s">
        <v>5523</v>
      </c>
      <c r="K119" s="1667"/>
      <c r="L119" s="1667"/>
      <c r="M119" s="1667"/>
      <c r="N119" s="1667"/>
      <c r="O119" s="1667"/>
      <c r="P119" s="1667"/>
      <c r="Q119" s="1667"/>
      <c r="R119" s="1667"/>
      <c r="S119" s="1667"/>
      <c r="T119" s="1667"/>
      <c r="U119" s="1668"/>
      <c r="V119" s="1669">
        <f>SUM(AV114:AV118)</f>
        <v>980</v>
      </c>
      <c r="W119" s="1670"/>
      <c r="X119" s="1670"/>
      <c r="Y119" s="1670"/>
      <c r="Z119" s="1671"/>
      <c r="AA119" s="1049"/>
      <c r="AB119" s="1050"/>
      <c r="AC119" s="1052"/>
      <c r="AD119" s="1052"/>
      <c r="AE119" s="1052"/>
      <c r="AF119" s="1052"/>
      <c r="AG119" s="598"/>
      <c r="AH119" s="598"/>
      <c r="AI119" s="598"/>
      <c r="AJ119" s="598"/>
      <c r="AK119" s="598"/>
      <c r="AL119" s="598"/>
      <c r="AM119" s="598"/>
      <c r="AN119" s="598"/>
      <c r="AO119" s="598"/>
      <c r="AP119" s="598"/>
      <c r="AQ119" s="598"/>
      <c r="AR119" s="598"/>
      <c r="AS119" s="598"/>
      <c r="AT119" s="599"/>
      <c r="AU119" s="171"/>
      <c r="BY119" s="4"/>
      <c r="BZ119" s="89" t="s">
        <v>5607</v>
      </c>
      <c r="CA119" s="369" t="s">
        <v>5607</v>
      </c>
      <c r="CB119" s="82" t="s">
        <v>5608</v>
      </c>
      <c r="CD119" s="108"/>
      <c r="CE119" s="108"/>
      <c r="CF119" s="108"/>
      <c r="CG119" s="21"/>
      <c r="CH119" s="148" t="s">
        <v>502</v>
      </c>
      <c r="CI119" s="148" t="s">
        <v>21</v>
      </c>
      <c r="CJ119" s="148">
        <v>255</v>
      </c>
      <c r="CK119" s="148" t="s">
        <v>83</v>
      </c>
      <c r="CL119" s="148" t="s">
        <v>83</v>
      </c>
      <c r="CM119" s="148"/>
      <c r="CN119" s="148" t="s">
        <v>613</v>
      </c>
      <c r="CO119" s="149" t="s">
        <v>73</v>
      </c>
      <c r="CP119" s="150"/>
      <c r="CQ119" s="2"/>
      <c r="CR119" s="45"/>
      <c r="CS119" s="45"/>
      <c r="CT119" s="45"/>
      <c r="CU119" s="45"/>
      <c r="CV119" s="10"/>
      <c r="CW119" s="32"/>
      <c r="CX119" s="32"/>
      <c r="CY119" s="31"/>
      <c r="CZ119" s="33"/>
      <c r="DA119" s="31"/>
      <c r="DC119" s="32"/>
      <c r="DD119" s="32"/>
      <c r="DE119" s="87"/>
      <c r="DF119" s="64"/>
      <c r="DG119" s="64"/>
      <c r="DH119" s="436" t="s">
        <v>2156</v>
      </c>
      <c r="DI119" s="436" t="s">
        <v>3551</v>
      </c>
      <c r="DJ119" s="436"/>
      <c r="DK119" s="75" t="str">
        <f t="shared" si="24"/>
        <v>94101Q55</v>
      </c>
      <c r="DL119" s="78" t="s">
        <v>3556</v>
      </c>
      <c r="DM119" s="78" t="s">
        <v>3560</v>
      </c>
      <c r="DN119" s="627" t="str">
        <f>IF(OR(AV77="0000",AV77=""),"",ASC(AV77))</f>
        <v>1801</v>
      </c>
      <c r="DO119" s="10"/>
      <c r="DP119" s="10"/>
      <c r="DV119" s="21"/>
      <c r="DX119" s="85"/>
      <c r="DY119" s="85"/>
    </row>
    <row r="120" spans="1:129" ht="19.5" customHeight="1" thickBot="1">
      <c r="A120" s="354"/>
      <c r="B120" s="181"/>
      <c r="C120" s="1625"/>
      <c r="D120" s="1626"/>
      <c r="E120" s="1626"/>
      <c r="F120" s="1626"/>
      <c r="G120" s="1626"/>
      <c r="H120" s="1626"/>
      <c r="I120" s="1626"/>
      <c r="J120" s="1627" t="s">
        <v>5058</v>
      </c>
      <c r="K120" s="1627"/>
      <c r="L120" s="1627"/>
      <c r="M120" s="1627"/>
      <c r="N120" s="1627"/>
      <c r="O120" s="1627"/>
      <c r="P120" s="1627"/>
      <c r="Q120" s="1627"/>
      <c r="R120" s="1627"/>
      <c r="S120" s="1627"/>
      <c r="T120" s="1627"/>
      <c r="U120" s="1628"/>
      <c r="V120" s="1629">
        <f>IF(AA126=0,V119,((AV114+AV115+AV116+AV118)*AA126)+AV117)</f>
        <v>980</v>
      </c>
      <c r="W120" s="1630"/>
      <c r="X120" s="1630"/>
      <c r="Y120" s="1630"/>
      <c r="Z120" s="1631"/>
      <c r="AA120" s="1110"/>
      <c r="AB120" s="1111"/>
      <c r="AC120" s="1054"/>
      <c r="AD120" s="1054"/>
      <c r="AE120" s="1054"/>
      <c r="AF120" s="1054"/>
      <c r="AG120" s="1054"/>
      <c r="AH120" s="1054"/>
      <c r="AI120" s="1054"/>
      <c r="AJ120" s="1054"/>
      <c r="AK120" s="1054"/>
      <c r="AL120" s="1054"/>
      <c r="AM120" s="1054"/>
      <c r="AN120" s="1054"/>
      <c r="AO120" s="1054"/>
      <c r="AP120" s="1054"/>
      <c r="AQ120" s="1054"/>
      <c r="AR120" s="1054"/>
      <c r="AS120" s="1054"/>
      <c r="AT120" s="1055"/>
      <c r="AU120" s="171"/>
      <c r="BY120" s="4"/>
      <c r="BZ120" s="89" t="s">
        <v>5609</v>
      </c>
      <c r="CA120" s="369" t="s">
        <v>5609</v>
      </c>
      <c r="CB120" s="82" t="s">
        <v>5610</v>
      </c>
      <c r="CD120" s="108"/>
      <c r="CE120" s="108"/>
      <c r="CF120" s="108"/>
      <c r="CG120" s="21"/>
      <c r="CH120" s="148" t="s">
        <v>503</v>
      </c>
      <c r="CI120" s="148" t="s">
        <v>63</v>
      </c>
      <c r="CJ120" s="148">
        <v>1</v>
      </c>
      <c r="CK120" s="148" t="s">
        <v>83</v>
      </c>
      <c r="CL120" s="148" t="s">
        <v>83</v>
      </c>
      <c r="CM120" s="148" t="s">
        <v>504</v>
      </c>
      <c r="CN120" s="148" t="s">
        <v>610</v>
      </c>
      <c r="CO120" s="215" t="s">
        <v>72</v>
      </c>
      <c r="CP120" s="150"/>
      <c r="CQ120" s="2"/>
      <c r="CR120" s="45"/>
      <c r="CS120" s="45"/>
      <c r="CT120" s="45"/>
      <c r="CU120" s="45"/>
      <c r="CV120" s="10"/>
      <c r="CW120" s="32"/>
      <c r="CX120" s="32"/>
      <c r="CY120" s="31"/>
      <c r="CZ120" s="33"/>
      <c r="DA120" s="31"/>
      <c r="DC120" s="32"/>
      <c r="DD120" s="32"/>
      <c r="DE120" s="87"/>
      <c r="DF120" s="64"/>
      <c r="DH120" s="436" t="s">
        <v>2156</v>
      </c>
      <c r="DI120" s="436" t="s">
        <v>2174</v>
      </c>
      <c r="DJ120" s="436" t="s">
        <v>3552</v>
      </c>
      <c r="DK120" s="75" t="str">
        <f t="shared" si="24"/>
        <v>94101Q56</v>
      </c>
      <c r="DL120" s="78" t="s">
        <v>3556</v>
      </c>
      <c r="DM120" s="78" t="s">
        <v>3564</v>
      </c>
      <c r="DN120" s="627" t="str">
        <f>"1"</f>
        <v>1</v>
      </c>
      <c r="DO120" s="10"/>
      <c r="DP120" s="10"/>
      <c r="DV120" s="21"/>
      <c r="DX120" s="85"/>
      <c r="DY120" s="85"/>
    </row>
    <row r="121" spans="1:129" ht="19.5" customHeight="1" thickBot="1">
      <c r="A121" s="354"/>
      <c r="B121" s="181"/>
      <c r="C121" s="1892" t="s">
        <v>5756</v>
      </c>
      <c r="D121" s="1893"/>
      <c r="E121" s="1893"/>
      <c r="F121" s="1893"/>
      <c r="G121" s="1893"/>
      <c r="H121" s="1893"/>
      <c r="I121" s="1893"/>
      <c r="J121" s="1893"/>
      <c r="K121" s="1893"/>
      <c r="L121" s="1893"/>
      <c r="M121" s="1893"/>
      <c r="N121" s="1893"/>
      <c r="O121" s="1893"/>
      <c r="P121" s="1893"/>
      <c r="Q121" s="1893"/>
      <c r="R121" s="1893"/>
      <c r="S121" s="1893"/>
      <c r="T121" s="1893"/>
      <c r="U121" s="1893"/>
      <c r="V121" s="1894">
        <v>780</v>
      </c>
      <c r="W121" s="1895"/>
      <c r="X121" s="1895"/>
      <c r="Y121" s="1895"/>
      <c r="Z121" s="1895"/>
      <c r="AA121" s="1896" t="s">
        <v>5087</v>
      </c>
      <c r="AB121" s="1897"/>
      <c r="AC121" s="1898" t="s">
        <v>5757</v>
      </c>
      <c r="AD121" s="1898"/>
      <c r="AE121" s="1898"/>
      <c r="AF121" s="1898"/>
      <c r="AG121" s="1898"/>
      <c r="AH121" s="1898"/>
      <c r="AI121" s="1898"/>
      <c r="AJ121" s="1898"/>
      <c r="AK121" s="1898"/>
      <c r="AL121" s="1898"/>
      <c r="AM121" s="1898"/>
      <c r="AN121" s="1898"/>
      <c r="AO121" s="1898"/>
      <c r="AP121" s="1898"/>
      <c r="AQ121" s="1898"/>
      <c r="AR121" s="1898"/>
      <c r="AS121" s="1898"/>
      <c r="AT121" s="1899"/>
      <c r="AU121" s="171"/>
      <c r="BY121" s="4"/>
      <c r="BZ121" s="89" t="s">
        <v>5611</v>
      </c>
      <c r="CA121" s="369" t="s">
        <v>5611</v>
      </c>
      <c r="CB121" s="82" t="s">
        <v>5612</v>
      </c>
      <c r="CD121" s="108"/>
      <c r="CE121" s="108"/>
      <c r="CF121" s="108"/>
      <c r="CG121" s="21"/>
      <c r="CH121" s="148" t="s">
        <v>505</v>
      </c>
      <c r="CI121" s="148" t="s">
        <v>63</v>
      </c>
      <c r="CJ121" s="148">
        <v>1</v>
      </c>
      <c r="CK121" s="148" t="s">
        <v>83</v>
      </c>
      <c r="CL121" s="148" t="s">
        <v>83</v>
      </c>
      <c r="CM121" s="148" t="s">
        <v>504</v>
      </c>
      <c r="CN121" s="148" t="s">
        <v>610</v>
      </c>
      <c r="CO121" s="215" t="s">
        <v>71</v>
      </c>
      <c r="CP121" s="150"/>
      <c r="CQ121" s="2"/>
      <c r="CR121" s="45"/>
      <c r="CS121" s="45"/>
      <c r="CT121" s="45"/>
      <c r="CU121" s="45"/>
      <c r="CV121" s="10"/>
      <c r="CW121" s="32"/>
      <c r="CX121" s="32"/>
      <c r="CY121" s="31"/>
      <c r="CZ121" s="33"/>
      <c r="DA121" s="31"/>
      <c r="DC121" s="32"/>
      <c r="DD121" s="32"/>
      <c r="DE121" s="87"/>
      <c r="DF121" s="64"/>
      <c r="DH121" s="436" t="s">
        <v>2156</v>
      </c>
      <c r="DI121" s="436" t="s">
        <v>3553</v>
      </c>
      <c r="DJ121" s="436" t="s">
        <v>3554</v>
      </c>
      <c r="DK121" s="75" t="str">
        <f t="shared" si="24"/>
        <v>94101Q57</v>
      </c>
      <c r="DL121" s="78" t="s">
        <v>3556</v>
      </c>
      <c r="DM121" s="78" t="s">
        <v>3561</v>
      </c>
      <c r="DN121" s="627" t="str">
        <f>ASC(AX77)</f>
        <v>0</v>
      </c>
      <c r="DO121" s="10"/>
      <c r="DP121" s="10"/>
      <c r="DV121" s="21"/>
      <c r="DX121" s="85"/>
      <c r="DY121" s="85"/>
    </row>
    <row r="122" spans="1:129" ht="19.5" customHeight="1">
      <c r="A122" s="111"/>
      <c r="B122" s="181"/>
      <c r="C122" s="134"/>
      <c r="D122" s="134"/>
      <c r="E122" s="134"/>
      <c r="F122" s="134"/>
      <c r="G122" s="134"/>
      <c r="H122" s="134"/>
      <c r="I122" s="134"/>
      <c r="J122" s="134"/>
      <c r="K122" s="134"/>
      <c r="L122" s="155"/>
      <c r="M122" s="1494"/>
      <c r="N122" s="1136"/>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71"/>
      <c r="AW122" s="151"/>
      <c r="BY122" s="4"/>
      <c r="BZ122" s="89" t="s">
        <v>5613</v>
      </c>
      <c r="CA122" s="369" t="s">
        <v>5613</v>
      </c>
      <c r="CB122" s="82" t="s">
        <v>5614</v>
      </c>
      <c r="CC122" s="4"/>
      <c r="CD122" s="108"/>
      <c r="CE122" s="108"/>
      <c r="CF122" s="108"/>
      <c r="CG122" s="21"/>
      <c r="CH122" s="148" t="s">
        <v>506</v>
      </c>
      <c r="CI122" s="148" t="s">
        <v>63</v>
      </c>
      <c r="CJ122" s="148">
        <v>1</v>
      </c>
      <c r="CK122" s="148" t="s">
        <v>507</v>
      </c>
      <c r="CL122" s="148" t="s">
        <v>507</v>
      </c>
      <c r="CM122" s="148" t="s">
        <v>508</v>
      </c>
      <c r="CN122" s="148" t="s">
        <v>610</v>
      </c>
      <c r="CO122" s="215" t="s">
        <v>70</v>
      </c>
      <c r="CP122" s="150"/>
      <c r="CQ122" s="2"/>
      <c r="CR122" s="45"/>
      <c r="CS122" s="45"/>
      <c r="CT122" s="45"/>
      <c r="CU122" s="45"/>
      <c r="CV122" s="10"/>
      <c r="CW122" s="32"/>
      <c r="CX122" s="32"/>
      <c r="CY122" s="31"/>
      <c r="CZ122" s="33"/>
      <c r="DA122" s="31"/>
      <c r="DC122" s="32"/>
      <c r="DD122" s="32"/>
      <c r="DE122" s="87"/>
      <c r="DF122" s="64"/>
      <c r="DH122" s="436" t="s">
        <v>2156</v>
      </c>
      <c r="DI122" s="436" t="s">
        <v>3555</v>
      </c>
      <c r="DJ122" s="436" t="s">
        <v>3394</v>
      </c>
      <c r="DK122" s="75" t="str">
        <f t="shared" si="24"/>
        <v>94101Q58</v>
      </c>
      <c r="DL122" s="78" t="s">
        <v>3556</v>
      </c>
      <c r="DM122" s="78" t="s">
        <v>3562</v>
      </c>
      <c r="DN122" s="627" t="str">
        <f>IF(AY77=1,"1","0")</f>
        <v>0</v>
      </c>
      <c r="DO122" s="10"/>
      <c r="DP122" s="10"/>
      <c r="DV122" s="21"/>
      <c r="DX122" s="85"/>
      <c r="DY122" s="85"/>
    </row>
    <row r="123" spans="1:129" ht="19.5" customHeight="1" thickBot="1">
      <c r="A123" s="111"/>
      <c r="B123" s="181"/>
      <c r="C123" s="134"/>
      <c r="D123" s="134"/>
      <c r="E123" s="134"/>
      <c r="F123" s="134"/>
      <c r="G123" s="134"/>
      <c r="H123" s="134"/>
      <c r="I123" s="134"/>
      <c r="J123" s="134"/>
      <c r="K123" s="134"/>
      <c r="L123" s="155"/>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7"/>
      <c r="AG123" s="1137"/>
      <c r="AH123" s="1137"/>
      <c r="AI123" s="1137"/>
      <c r="AJ123" s="1137"/>
      <c r="AK123" s="1137"/>
      <c r="AL123" s="1137"/>
      <c r="AM123" s="1137"/>
      <c r="AN123" s="1137"/>
      <c r="AO123" s="1137"/>
      <c r="AP123" s="1137"/>
      <c r="AQ123" s="1137"/>
      <c r="AR123" s="1137"/>
      <c r="AS123" s="1137"/>
      <c r="AT123" s="1137"/>
      <c r="AU123" s="171"/>
      <c r="BY123" s="4"/>
      <c r="BZ123" s="89" t="s">
        <v>5615</v>
      </c>
      <c r="CA123" s="369" t="s">
        <v>5615</v>
      </c>
      <c r="CB123" s="82" t="s">
        <v>5616</v>
      </c>
      <c r="CC123" s="4"/>
      <c r="CD123" s="108"/>
      <c r="CE123" s="108"/>
      <c r="CF123" s="108"/>
      <c r="CG123" s="21"/>
      <c r="CH123" s="148" t="s">
        <v>509</v>
      </c>
      <c r="CI123" s="148" t="s">
        <v>21</v>
      </c>
      <c r="CJ123" s="148">
        <v>255</v>
      </c>
      <c r="CK123" s="148" t="s">
        <v>510</v>
      </c>
      <c r="CL123" s="148" t="s">
        <v>510</v>
      </c>
      <c r="CM123" s="148"/>
      <c r="CN123" s="148" t="s">
        <v>613</v>
      </c>
      <c r="CO123" s="215" t="s">
        <v>69</v>
      </c>
      <c r="CP123" s="150"/>
      <c r="CQ123" s="2"/>
      <c r="CR123" s="45"/>
      <c r="CS123" s="45"/>
      <c r="CT123" s="45"/>
      <c r="CU123" s="45"/>
      <c r="CV123" s="10"/>
      <c r="CW123" s="32"/>
      <c r="CX123" s="32"/>
      <c r="CY123" s="31"/>
      <c r="CZ123" s="33"/>
      <c r="DA123" s="31"/>
      <c r="DC123" s="32"/>
      <c r="DD123" s="32"/>
      <c r="DE123" s="87"/>
      <c r="DF123" s="64"/>
      <c r="DH123" s="836" t="s">
        <v>3775</v>
      </c>
      <c r="DI123" s="836" t="s">
        <v>2173</v>
      </c>
      <c r="DJ123" s="837"/>
      <c r="DK123" s="75" t="str">
        <f t="shared" si="24"/>
        <v>94301Q72</v>
      </c>
      <c r="DL123" s="838" t="s">
        <v>3795</v>
      </c>
      <c r="DM123" s="838" t="s">
        <v>3796</v>
      </c>
      <c r="DN123" s="839" t="str">
        <f>T(記入シート1!I67)</f>
        <v/>
      </c>
      <c r="DO123" s="10"/>
      <c r="DP123" s="10"/>
      <c r="DV123" s="21"/>
      <c r="DX123" s="85"/>
      <c r="DY123" s="85"/>
    </row>
    <row r="124" spans="1:129" ht="19.5" customHeight="1" thickTop="1">
      <c r="A124" s="111"/>
      <c r="B124" s="181"/>
      <c r="C124" s="1848"/>
      <c r="D124" s="1849"/>
      <c r="E124" s="1849"/>
      <c r="F124" s="1849"/>
      <c r="G124" s="1849"/>
      <c r="H124" s="1849"/>
      <c r="I124" s="1849"/>
      <c r="J124" s="1849"/>
      <c r="K124" s="1849"/>
      <c r="L124" s="1849"/>
      <c r="M124" s="1849"/>
      <c r="N124" s="1849"/>
      <c r="O124" s="1849"/>
      <c r="P124" s="1849"/>
      <c r="Q124" s="1849"/>
      <c r="R124" s="1849"/>
      <c r="S124" s="1849"/>
      <c r="T124" s="1849"/>
      <c r="U124" s="1850"/>
      <c r="V124" s="1854" t="s">
        <v>3773</v>
      </c>
      <c r="W124" s="1855"/>
      <c r="X124" s="1855"/>
      <c r="Y124" s="1855"/>
      <c r="Z124" s="1856"/>
      <c r="AA124" s="1860" t="s">
        <v>847</v>
      </c>
      <c r="AB124" s="1860"/>
      <c r="AC124" s="1860"/>
      <c r="AD124" s="1861"/>
      <c r="AE124" s="2485" t="s">
        <v>3774</v>
      </c>
      <c r="AF124" s="2485"/>
      <c r="AG124" s="2485"/>
      <c r="AH124" s="2485"/>
      <c r="AI124" s="2485"/>
      <c r="AJ124" s="2486"/>
      <c r="AK124" s="2488" t="s">
        <v>850</v>
      </c>
      <c r="AL124" s="2489"/>
      <c r="AM124" s="2489"/>
      <c r="AN124" s="2489"/>
      <c r="AO124" s="2489"/>
      <c r="AP124" s="2489"/>
      <c r="AQ124" s="2489"/>
      <c r="AR124" s="2489"/>
      <c r="AS124" s="2489"/>
      <c r="AT124" s="2490"/>
      <c r="AU124" s="171"/>
      <c r="BY124" s="4"/>
      <c r="BZ124" s="89" t="s">
        <v>5617</v>
      </c>
      <c r="CA124" s="369" t="s">
        <v>5617</v>
      </c>
      <c r="CB124" s="82" t="s">
        <v>5618</v>
      </c>
      <c r="CC124" s="4"/>
      <c r="CD124" s="108"/>
      <c r="CE124" s="108"/>
      <c r="CF124" s="108"/>
      <c r="CG124" s="21"/>
      <c r="CH124" s="148" t="s">
        <v>511</v>
      </c>
      <c r="CI124" s="148" t="s">
        <v>21</v>
      </c>
      <c r="CJ124" s="148">
        <v>255</v>
      </c>
      <c r="CK124" s="148" t="s">
        <v>432</v>
      </c>
      <c r="CL124" s="148" t="s">
        <v>432</v>
      </c>
      <c r="CM124" s="148"/>
      <c r="CN124" s="148"/>
      <c r="CO124" s="149" t="s">
        <v>68</v>
      </c>
      <c r="CP124" s="150"/>
      <c r="CQ124" s="2"/>
      <c r="CR124" s="45"/>
      <c r="CS124" s="45"/>
      <c r="CT124" s="45"/>
      <c r="CU124" s="45"/>
      <c r="CV124" s="10"/>
      <c r="CW124" s="32"/>
      <c r="CX124" s="32"/>
      <c r="CY124" s="31"/>
      <c r="CZ124" s="33"/>
      <c r="DA124" s="31"/>
      <c r="DC124" s="32"/>
      <c r="DD124" s="32"/>
      <c r="DE124" s="87"/>
      <c r="DF124" s="64"/>
      <c r="DH124" s="836" t="s">
        <v>3775</v>
      </c>
      <c r="DI124" s="836" t="s">
        <v>3238</v>
      </c>
      <c r="DJ124" s="837"/>
      <c r="DK124" s="75" t="str">
        <f t="shared" si="24"/>
        <v>94301Q73</v>
      </c>
      <c r="DL124" s="838" t="s">
        <v>3795</v>
      </c>
      <c r="DM124" s="838" t="s">
        <v>3797</v>
      </c>
      <c r="DN124" s="839" t="str">
        <f>T(記入シート1!I66)</f>
        <v/>
      </c>
      <c r="DO124" s="10"/>
      <c r="DP124" s="10"/>
      <c r="DV124" s="21"/>
      <c r="DX124" s="85"/>
      <c r="DY124" s="85"/>
    </row>
    <row r="125" spans="1:129" ht="19.5" customHeight="1">
      <c r="A125" s="111"/>
      <c r="B125" s="181"/>
      <c r="C125" s="1851"/>
      <c r="D125" s="1852"/>
      <c r="E125" s="1852"/>
      <c r="F125" s="1852"/>
      <c r="G125" s="1852"/>
      <c r="H125" s="1852"/>
      <c r="I125" s="1852"/>
      <c r="J125" s="1852"/>
      <c r="K125" s="1852"/>
      <c r="L125" s="1852"/>
      <c r="M125" s="1852"/>
      <c r="N125" s="1852"/>
      <c r="O125" s="1852"/>
      <c r="P125" s="1852"/>
      <c r="Q125" s="1852"/>
      <c r="R125" s="1852"/>
      <c r="S125" s="1852"/>
      <c r="T125" s="1852"/>
      <c r="U125" s="2916"/>
      <c r="V125" s="1857"/>
      <c r="W125" s="1858"/>
      <c r="X125" s="1858"/>
      <c r="Y125" s="1858"/>
      <c r="Z125" s="1859"/>
      <c r="AA125" s="1862"/>
      <c r="AB125" s="1863"/>
      <c r="AC125" s="1863"/>
      <c r="AD125" s="1864"/>
      <c r="AE125" s="1858"/>
      <c r="AF125" s="1858"/>
      <c r="AG125" s="1858"/>
      <c r="AH125" s="1858"/>
      <c r="AI125" s="1858"/>
      <c r="AJ125" s="2487"/>
      <c r="AK125" s="2491"/>
      <c r="AL125" s="2492"/>
      <c r="AM125" s="2492"/>
      <c r="AN125" s="2492"/>
      <c r="AO125" s="2492"/>
      <c r="AP125" s="2492"/>
      <c r="AQ125" s="2492"/>
      <c r="AR125" s="2492"/>
      <c r="AS125" s="2492"/>
      <c r="AT125" s="2493"/>
      <c r="AU125" s="171"/>
      <c r="BY125" s="4"/>
      <c r="BZ125" s="89" t="s">
        <v>5619</v>
      </c>
      <c r="CA125" s="369" t="s">
        <v>5619</v>
      </c>
      <c r="CB125" s="82" t="s">
        <v>5620</v>
      </c>
      <c r="CC125" s="4"/>
      <c r="CD125" s="108"/>
      <c r="CE125" s="108"/>
      <c r="CF125" s="108"/>
      <c r="CG125" s="21">
        <v>5077</v>
      </c>
      <c r="CH125" s="148" t="s">
        <v>512</v>
      </c>
      <c r="CI125" s="148" t="s">
        <v>63</v>
      </c>
      <c r="CJ125" s="148">
        <v>1</v>
      </c>
      <c r="CK125" s="148" t="s">
        <v>83</v>
      </c>
      <c r="CL125" s="148" t="s">
        <v>83</v>
      </c>
      <c r="CM125" s="148" t="s">
        <v>513</v>
      </c>
      <c r="CN125" s="148" t="s">
        <v>610</v>
      </c>
      <c r="CO125" s="149" t="s">
        <v>67</v>
      </c>
      <c r="CP125" s="150"/>
      <c r="CQ125" s="2"/>
      <c r="CR125" s="45"/>
      <c r="CS125" s="45"/>
      <c r="CT125" s="45"/>
      <c r="CU125" s="45"/>
      <c r="CV125" s="10"/>
      <c r="CW125" s="32"/>
      <c r="CX125" s="32"/>
      <c r="CY125" s="31"/>
      <c r="CZ125" s="33"/>
      <c r="DA125" s="31"/>
      <c r="DC125" s="32"/>
      <c r="DD125" s="32"/>
      <c r="DE125" s="87"/>
      <c r="DF125" s="64"/>
      <c r="DH125" s="836" t="s">
        <v>3775</v>
      </c>
      <c r="DI125" s="836" t="s">
        <v>2171</v>
      </c>
      <c r="DJ125" s="837"/>
      <c r="DK125" s="75" t="str">
        <f t="shared" si="24"/>
        <v>94301Q74</v>
      </c>
      <c r="DL125" s="838" t="s">
        <v>3795</v>
      </c>
      <c r="DM125" s="838" t="s">
        <v>3798</v>
      </c>
      <c r="DN125" s="839" t="str">
        <f>"9"</f>
        <v>9</v>
      </c>
      <c r="DO125" s="10"/>
      <c r="DP125" s="10"/>
      <c r="DV125" s="21"/>
      <c r="DX125" s="85"/>
      <c r="DY125" s="85"/>
    </row>
    <row r="126" spans="1:129" ht="19.5" customHeight="1">
      <c r="A126" s="111"/>
      <c r="B126" s="181"/>
      <c r="C126" s="1865" t="s">
        <v>851</v>
      </c>
      <c r="D126" s="1866"/>
      <c r="E126" s="1866"/>
      <c r="F126" s="1866"/>
      <c r="G126" s="1866"/>
      <c r="H126" s="1866"/>
      <c r="I126" s="1867"/>
      <c r="J126" s="2904" t="s">
        <v>5770</v>
      </c>
      <c r="K126" s="2905"/>
      <c r="L126" s="2905"/>
      <c r="M126" s="2905"/>
      <c r="N126" s="2905"/>
      <c r="O126" s="2905"/>
      <c r="P126" s="2905"/>
      <c r="Q126" s="2905"/>
      <c r="R126" s="2905"/>
      <c r="S126" s="2905"/>
      <c r="T126" s="2905"/>
      <c r="U126" s="2906"/>
      <c r="V126" s="1846">
        <f>IF(J126="A920SB",71800,IF(J126="A920MAX",78980,""))</f>
        <v>78980</v>
      </c>
      <c r="W126" s="1847"/>
      <c r="X126" s="1847"/>
      <c r="Y126" s="1847"/>
      <c r="Z126" s="833" t="s">
        <v>5087</v>
      </c>
      <c r="AA126" s="1845">
        <v>1</v>
      </c>
      <c r="AB126" s="1829"/>
      <c r="AC126" s="1829"/>
      <c r="AD126" s="828" t="s">
        <v>5036</v>
      </c>
      <c r="AE126" s="1836">
        <f>IF(V126="","",V126*AA126)</f>
        <v>78980</v>
      </c>
      <c r="AF126" s="1837"/>
      <c r="AG126" s="1837"/>
      <c r="AH126" s="1837"/>
      <c r="AI126" s="1837"/>
      <c r="AJ126" s="1838"/>
      <c r="AK126" s="1839"/>
      <c r="AL126" s="1840"/>
      <c r="AM126" s="1840"/>
      <c r="AN126" s="1840"/>
      <c r="AO126" s="1840"/>
      <c r="AP126" s="1840"/>
      <c r="AQ126" s="1840"/>
      <c r="AR126" s="1840"/>
      <c r="AS126" s="1840"/>
      <c r="AT126" s="1841"/>
      <c r="AU126" s="171"/>
      <c r="AV126" s="393" t="str">
        <f>IF(AA126="","NG","OK")</f>
        <v>OK</v>
      </c>
      <c r="AW126" s="20" t="s">
        <v>4867</v>
      </c>
      <c r="AX126" s="20" t="str">
        <f>IF(J126="A920SB","A920SB",IF(J126="A920MAX","A920MAX",NA()))</f>
        <v>A920MAX</v>
      </c>
      <c r="BY126" s="4"/>
      <c r="BZ126" s="89" t="s">
        <v>5621</v>
      </c>
      <c r="CA126" s="369" t="s">
        <v>5621</v>
      </c>
      <c r="CB126" s="82" t="s">
        <v>5622</v>
      </c>
      <c r="CC126" s="4"/>
      <c r="CD126" s="108"/>
      <c r="CE126" s="108"/>
      <c r="CF126" s="108"/>
      <c r="CG126" s="21"/>
      <c r="CH126" s="148" t="s">
        <v>514</v>
      </c>
      <c r="CI126" s="148" t="s">
        <v>21</v>
      </c>
      <c r="CJ126" s="148">
        <v>255</v>
      </c>
      <c r="CK126" s="148" t="s">
        <v>507</v>
      </c>
      <c r="CL126" s="148" t="s">
        <v>507</v>
      </c>
      <c r="CM126" s="148"/>
      <c r="CN126" s="148" t="s">
        <v>613</v>
      </c>
      <c r="CO126" s="149" t="s">
        <v>66</v>
      </c>
      <c r="CP126" s="150"/>
      <c r="CQ126" s="2"/>
      <c r="CR126" s="45"/>
      <c r="CS126" s="45"/>
      <c r="CT126" s="45"/>
      <c r="CU126" s="45"/>
      <c r="CV126" s="10"/>
      <c r="CW126" s="32"/>
      <c r="CX126" s="32"/>
      <c r="CY126" s="31"/>
      <c r="CZ126" s="33"/>
      <c r="DA126" s="31"/>
      <c r="DC126" s="32"/>
      <c r="DD126" s="32"/>
      <c r="DE126" s="87"/>
      <c r="DF126" s="64"/>
      <c r="DH126" s="836" t="s">
        <v>3775</v>
      </c>
      <c r="DI126" s="836" t="s">
        <v>2172</v>
      </c>
      <c r="DJ126" s="837"/>
      <c r="DK126" s="75" t="str">
        <f t="shared" si="24"/>
        <v>94301Q75</v>
      </c>
      <c r="DL126" s="838" t="s">
        <v>3795</v>
      </c>
      <c r="DM126" s="838" t="s">
        <v>3799</v>
      </c>
      <c r="DN126" s="839" t="str">
        <f>ASC(記入シート1!AW73)</f>
        <v/>
      </c>
      <c r="DO126" s="10"/>
      <c r="DP126" s="10"/>
      <c r="DV126" s="21"/>
      <c r="DX126" s="85"/>
      <c r="DY126" s="85"/>
    </row>
    <row r="127" spans="1:129" ht="19.5" customHeight="1">
      <c r="A127" s="354"/>
      <c r="B127" s="181"/>
      <c r="C127" s="1868"/>
      <c r="D127" s="1869"/>
      <c r="E127" s="1869"/>
      <c r="F127" s="1869"/>
      <c r="G127" s="1869"/>
      <c r="H127" s="1869"/>
      <c r="I127" s="1870"/>
      <c r="J127" s="2907" t="s">
        <v>5031</v>
      </c>
      <c r="K127" s="2908"/>
      <c r="L127" s="2908"/>
      <c r="M127" s="2908"/>
      <c r="N127" s="2908"/>
      <c r="O127" s="2908"/>
      <c r="P127" s="2908"/>
      <c r="Q127" s="2908"/>
      <c r="R127" s="2908"/>
      <c r="S127" s="2908"/>
      <c r="T127" s="2908"/>
      <c r="U127" s="1660"/>
      <c r="V127" s="1846">
        <f>IF(J126="A920SB",9000,IF(J126="A920MAX",14000,""))</f>
        <v>14000</v>
      </c>
      <c r="W127" s="1847"/>
      <c r="X127" s="1847"/>
      <c r="Y127" s="1847"/>
      <c r="Z127" s="833" t="s">
        <v>5035</v>
      </c>
      <c r="AA127" s="1845">
        <v>0</v>
      </c>
      <c r="AB127" s="1829"/>
      <c r="AC127" s="1829"/>
      <c r="AD127" s="828" t="s">
        <v>5036</v>
      </c>
      <c r="AE127" s="1836">
        <f t="shared" ref="AE127:AE144" si="25">IF(V127="","",V127*AA127)</f>
        <v>0</v>
      </c>
      <c r="AF127" s="1837"/>
      <c r="AG127" s="1837"/>
      <c r="AH127" s="1837"/>
      <c r="AI127" s="1837"/>
      <c r="AJ127" s="1838"/>
      <c r="AK127" s="1839"/>
      <c r="AL127" s="1840"/>
      <c r="AM127" s="1840"/>
      <c r="AN127" s="1840"/>
      <c r="AO127" s="1840"/>
      <c r="AP127" s="1840"/>
      <c r="AQ127" s="1840"/>
      <c r="AR127" s="1840"/>
      <c r="AS127" s="1840"/>
      <c r="AT127" s="1841"/>
      <c r="AU127" s="171"/>
      <c r="AW127" s="20" t="s">
        <v>4868</v>
      </c>
      <c r="AX127" s="20" t="str">
        <f>IF(AX126="A920SB","クレードル費用",IF(AX126="A920MAX","クレードル費用MAX",NA()))</f>
        <v>クレードル費用MAX</v>
      </c>
      <c r="BY127" s="4"/>
      <c r="BZ127" s="89" t="s">
        <v>5623</v>
      </c>
      <c r="CA127" s="369" t="s">
        <v>5623</v>
      </c>
      <c r="CB127" s="82" t="s">
        <v>5624</v>
      </c>
      <c r="CC127" s="4"/>
      <c r="CD127" s="108"/>
      <c r="CE127" s="108"/>
      <c r="CF127" s="108"/>
      <c r="CG127" s="21">
        <v>3108</v>
      </c>
      <c r="CH127" s="49" t="s">
        <v>515</v>
      </c>
      <c r="CI127" s="49" t="s">
        <v>21</v>
      </c>
      <c r="CJ127" s="49">
        <v>120</v>
      </c>
      <c r="CK127" s="49" t="s">
        <v>432</v>
      </c>
      <c r="CL127" s="49" t="s">
        <v>432</v>
      </c>
      <c r="CM127" s="1107" t="s">
        <v>4345</v>
      </c>
      <c r="CN127" s="49" t="s">
        <v>610</v>
      </c>
      <c r="CO127" s="1106" t="s">
        <v>65</v>
      </c>
      <c r="CP127" s="1108" t="str">
        <f>IF(AV9="OK",TEXT(W18*100,"0.000"),"")</f>
        <v/>
      </c>
      <c r="CQ127" s="2"/>
      <c r="CR127" s="45"/>
      <c r="CS127" s="45"/>
      <c r="CT127" s="45"/>
      <c r="CU127" s="45"/>
      <c r="CV127" s="10"/>
      <c r="CW127" s="32"/>
      <c r="CX127" s="32"/>
      <c r="CY127" s="31"/>
      <c r="CZ127" s="33"/>
      <c r="DA127" s="31"/>
      <c r="DC127" s="32"/>
      <c r="DD127" s="32"/>
      <c r="DE127" s="87"/>
      <c r="DF127" s="64"/>
      <c r="DH127" s="836" t="s">
        <v>3775</v>
      </c>
      <c r="DI127" s="836" t="s">
        <v>3251</v>
      </c>
      <c r="DJ127" s="837"/>
      <c r="DK127" s="75" t="str">
        <f t="shared" si="24"/>
        <v>94301Q76</v>
      </c>
      <c r="DL127" s="838" t="s">
        <v>3795</v>
      </c>
      <c r="DM127" s="838" t="s">
        <v>3800</v>
      </c>
      <c r="DN127" s="839" t="str">
        <f>ASC(AX51)</f>
        <v>7011</v>
      </c>
      <c r="DO127" s="10"/>
      <c r="DP127" s="10"/>
      <c r="DV127" s="21"/>
      <c r="DX127" s="85"/>
      <c r="DY127" s="85"/>
    </row>
    <row r="128" spans="1:129" ht="19.5" customHeight="1">
      <c r="A128" s="354"/>
      <c r="B128" s="181"/>
      <c r="C128" s="1868"/>
      <c r="D128" s="1869"/>
      <c r="E128" s="1869"/>
      <c r="F128" s="1869"/>
      <c r="G128" s="1869"/>
      <c r="H128" s="1869"/>
      <c r="I128" s="1870"/>
      <c r="J128" s="2907" t="s">
        <v>5032</v>
      </c>
      <c r="K128" s="2908"/>
      <c r="L128" s="2908"/>
      <c r="M128" s="2908"/>
      <c r="N128" s="2908"/>
      <c r="O128" s="2908"/>
      <c r="P128" s="2908"/>
      <c r="Q128" s="2908"/>
      <c r="R128" s="2908"/>
      <c r="S128" s="2908"/>
      <c r="T128" s="2908"/>
      <c r="U128" s="1660"/>
      <c r="V128" s="1846">
        <v>7000</v>
      </c>
      <c r="W128" s="1847"/>
      <c r="X128" s="1847"/>
      <c r="Y128" s="1847"/>
      <c r="Z128" s="833" t="s">
        <v>5035</v>
      </c>
      <c r="AA128" s="2881">
        <f>AA126</f>
        <v>1</v>
      </c>
      <c r="AB128" s="1871"/>
      <c r="AC128" s="1871"/>
      <c r="AD128" s="828" t="s">
        <v>5036</v>
      </c>
      <c r="AE128" s="1836">
        <f t="shared" si="25"/>
        <v>7000</v>
      </c>
      <c r="AF128" s="1837"/>
      <c r="AG128" s="1837"/>
      <c r="AH128" s="1837"/>
      <c r="AI128" s="1837"/>
      <c r="AJ128" s="1838"/>
      <c r="AK128" s="1839"/>
      <c r="AL128" s="1840"/>
      <c r="AM128" s="1840"/>
      <c r="AN128" s="1840"/>
      <c r="AO128" s="1840"/>
      <c r="AP128" s="1840"/>
      <c r="AQ128" s="1840"/>
      <c r="AR128" s="1840"/>
      <c r="AS128" s="1840"/>
      <c r="AT128" s="1841"/>
      <c r="AU128" s="171"/>
      <c r="AW128" s="20" t="s">
        <v>4869</v>
      </c>
      <c r="AX128" s="253"/>
      <c r="BY128" s="4"/>
      <c r="BZ128" s="89" t="s">
        <v>5625</v>
      </c>
      <c r="CA128" s="369" t="s">
        <v>5625</v>
      </c>
      <c r="CB128" s="82" t="s">
        <v>5626</v>
      </c>
      <c r="CC128" s="4"/>
      <c r="CD128" s="108"/>
      <c r="CE128" s="108"/>
      <c r="CF128" s="108"/>
      <c r="CG128" s="21"/>
      <c r="CH128" s="49" t="s">
        <v>516</v>
      </c>
      <c r="CI128" s="49" t="s">
        <v>21</v>
      </c>
      <c r="CJ128" s="49">
        <v>120</v>
      </c>
      <c r="CK128" s="49" t="s">
        <v>362</v>
      </c>
      <c r="CL128" s="49" t="s">
        <v>362</v>
      </c>
      <c r="CM128" s="1107" t="s">
        <v>5752</v>
      </c>
      <c r="CN128" s="49" t="s">
        <v>610</v>
      </c>
      <c r="CO128" s="1106" t="s">
        <v>64</v>
      </c>
      <c r="CP128" s="1108" t="str">
        <f>IF(AV9="OK",TEXT(W16*100,"0.000"),"")</f>
        <v/>
      </c>
      <c r="CQ128" s="2"/>
      <c r="CR128" s="45"/>
      <c r="CS128" s="45"/>
      <c r="CT128" s="45"/>
      <c r="CU128" s="45"/>
      <c r="CV128" s="10"/>
      <c r="CW128" s="32"/>
      <c r="CX128" s="32"/>
      <c r="CY128" s="31"/>
      <c r="CZ128" s="33"/>
      <c r="DA128" s="31"/>
      <c r="DC128" s="32"/>
      <c r="DD128" s="32"/>
      <c r="DE128" s="87"/>
      <c r="DF128" s="64"/>
      <c r="DH128" s="836" t="s">
        <v>3775</v>
      </c>
      <c r="DI128" s="836" t="s">
        <v>3793</v>
      </c>
      <c r="DJ128" s="837"/>
      <c r="DK128" s="75" t="str">
        <f t="shared" si="24"/>
        <v>94301Q77</v>
      </c>
      <c r="DL128" s="838" t="s">
        <v>3795</v>
      </c>
      <c r="DM128" s="838" t="s">
        <v>3801</v>
      </c>
      <c r="DN128" s="839" t="str">
        <f>IF(OR(AV51="0000",AV51=""),"",ASC(AV51))</f>
        <v>5000</v>
      </c>
      <c r="DO128" s="10"/>
      <c r="DP128" s="10"/>
      <c r="DV128" s="21"/>
      <c r="DX128" s="85"/>
      <c r="DY128" s="85"/>
    </row>
    <row r="129" spans="1:129" ht="19.5" customHeight="1">
      <c r="A129" s="354"/>
      <c r="B129" s="181"/>
      <c r="C129" s="1868"/>
      <c r="D129" s="1869"/>
      <c r="E129" s="1869"/>
      <c r="F129" s="1869"/>
      <c r="G129" s="1869"/>
      <c r="H129" s="1869"/>
      <c r="I129" s="1870"/>
      <c r="J129" s="2907" t="s">
        <v>5033</v>
      </c>
      <c r="K129" s="2908"/>
      <c r="L129" s="2908"/>
      <c r="M129" s="2908"/>
      <c r="N129" s="2908"/>
      <c r="O129" s="2908"/>
      <c r="P129" s="2908"/>
      <c r="Q129" s="2908"/>
      <c r="R129" s="2908"/>
      <c r="S129" s="2908"/>
      <c r="T129" s="2908"/>
      <c r="U129" s="1660"/>
      <c r="V129" s="1846">
        <v>12000</v>
      </c>
      <c r="W129" s="1847"/>
      <c r="X129" s="1847"/>
      <c r="Y129" s="1847"/>
      <c r="Z129" s="833" t="s">
        <v>5035</v>
      </c>
      <c r="AA129" s="2881">
        <f>IF(AV28=TRUE,AA126,0)</f>
        <v>0</v>
      </c>
      <c r="AB129" s="1871"/>
      <c r="AC129" s="1871"/>
      <c r="AD129" s="828" t="s">
        <v>5037</v>
      </c>
      <c r="AE129" s="1836">
        <f t="shared" si="25"/>
        <v>0</v>
      </c>
      <c r="AF129" s="1837"/>
      <c r="AG129" s="1837"/>
      <c r="AH129" s="1837"/>
      <c r="AI129" s="1837"/>
      <c r="AJ129" s="1838"/>
      <c r="AK129" s="1839"/>
      <c r="AL129" s="1840"/>
      <c r="AM129" s="1840"/>
      <c r="AN129" s="1840"/>
      <c r="AO129" s="1840"/>
      <c r="AP129" s="1840"/>
      <c r="AQ129" s="1840"/>
      <c r="AR129" s="1840"/>
      <c r="AS129" s="1840"/>
      <c r="AT129" s="1841"/>
      <c r="AU129" s="171"/>
      <c r="AW129" s="20" t="s">
        <v>4870</v>
      </c>
      <c r="AX129" s="253"/>
      <c r="BY129" s="4"/>
      <c r="BZ129" s="89" t="s">
        <v>5627</v>
      </c>
      <c r="CA129" s="369" t="s">
        <v>5627</v>
      </c>
      <c r="CB129" s="82" t="s">
        <v>5628</v>
      </c>
      <c r="CC129" s="4"/>
      <c r="CD129" s="108"/>
      <c r="CE129" s="108"/>
      <c r="CF129" s="108"/>
      <c r="CG129" s="21"/>
      <c r="CH129" s="148" t="s">
        <v>517</v>
      </c>
      <c r="CI129" s="148" t="s">
        <v>63</v>
      </c>
      <c r="CJ129" s="148">
        <v>1</v>
      </c>
      <c r="CK129" s="148" t="s">
        <v>83</v>
      </c>
      <c r="CL129" s="148" t="s">
        <v>83</v>
      </c>
      <c r="CM129" s="148" t="s">
        <v>518</v>
      </c>
      <c r="CN129" s="148" t="s">
        <v>610</v>
      </c>
      <c r="CO129" s="149" t="s">
        <v>62</v>
      </c>
      <c r="CP129" s="150"/>
      <c r="CQ129" s="2"/>
      <c r="CR129" s="45"/>
      <c r="CS129" s="45"/>
      <c r="CT129" s="45"/>
      <c r="CU129" s="45"/>
      <c r="CV129" s="10"/>
      <c r="CW129" s="32"/>
      <c r="CX129" s="32"/>
      <c r="CY129" s="31"/>
      <c r="CZ129" s="33"/>
      <c r="DA129" s="31"/>
      <c r="DC129" s="32"/>
      <c r="DD129" s="32"/>
      <c r="DE129" s="87"/>
      <c r="DF129" s="64"/>
      <c r="DH129" s="836" t="s">
        <v>3775</v>
      </c>
      <c r="DI129" s="836" t="s">
        <v>3794</v>
      </c>
      <c r="DJ129" s="837"/>
      <c r="DK129" s="75" t="str">
        <f t="shared" si="24"/>
        <v>94301Q78</v>
      </c>
      <c r="DL129" s="838" t="s">
        <v>3795</v>
      </c>
      <c r="DM129" s="838" t="s">
        <v>3802</v>
      </c>
      <c r="DN129" s="839" t="str">
        <f>IF(OR(AW51="0000",AW51=""),"",ASC(AW51))</f>
        <v>5001</v>
      </c>
      <c r="DO129" s="10"/>
      <c r="DP129" s="10"/>
      <c r="DV129" s="21"/>
      <c r="DX129" s="85"/>
      <c r="DY129" s="85"/>
    </row>
    <row r="130" spans="1:129" ht="19.5" customHeight="1">
      <c r="A130" s="354"/>
      <c r="B130" s="181"/>
      <c r="C130" s="1868"/>
      <c r="D130" s="1869"/>
      <c r="E130" s="1869"/>
      <c r="F130" s="1869"/>
      <c r="G130" s="1869"/>
      <c r="H130" s="1869"/>
      <c r="I130" s="1870"/>
      <c r="J130" s="2907" t="s">
        <v>5034</v>
      </c>
      <c r="K130" s="2908"/>
      <c r="L130" s="2908"/>
      <c r="M130" s="2908"/>
      <c r="N130" s="2908"/>
      <c r="O130" s="2908"/>
      <c r="P130" s="2908"/>
      <c r="Q130" s="2908"/>
      <c r="R130" s="2908"/>
      <c r="S130" s="2908"/>
      <c r="T130" s="2908"/>
      <c r="U130" s="1660"/>
      <c r="V130" s="2918">
        <v>3000</v>
      </c>
      <c r="W130" s="2259"/>
      <c r="X130" s="2259"/>
      <c r="Y130" s="2259"/>
      <c r="Z130" s="833" t="s">
        <v>5093</v>
      </c>
      <c r="AA130" s="1845">
        <v>0</v>
      </c>
      <c r="AB130" s="1652"/>
      <c r="AC130" s="1652"/>
      <c r="AD130" s="828" t="s">
        <v>1409</v>
      </c>
      <c r="AE130" s="1679">
        <f>IF(V130="","",V130*AA130)</f>
        <v>0</v>
      </c>
      <c r="AF130" s="1679"/>
      <c r="AG130" s="1679"/>
      <c r="AH130" s="1679"/>
      <c r="AI130" s="1679"/>
      <c r="AJ130" s="1680"/>
      <c r="AK130" s="1789"/>
      <c r="AL130" s="1790"/>
      <c r="AM130" s="1790"/>
      <c r="AN130" s="1790"/>
      <c r="AO130" s="1790"/>
      <c r="AP130" s="1790"/>
      <c r="AQ130" s="1790"/>
      <c r="AR130" s="1790"/>
      <c r="AS130" s="1790"/>
      <c r="AT130" s="1689"/>
      <c r="AU130" s="171"/>
      <c r="AW130" s="20" t="s">
        <v>4871</v>
      </c>
      <c r="AX130" s="253"/>
      <c r="BY130" s="11"/>
      <c r="BZ130" s="89" t="s">
        <v>5726</v>
      </c>
      <c r="CA130" s="369" t="s">
        <v>5726</v>
      </c>
      <c r="CB130" s="82" t="s">
        <v>5727</v>
      </c>
      <c r="CC130" s="4"/>
      <c r="CD130" s="108"/>
      <c r="CE130" s="108"/>
      <c r="CF130" s="108"/>
      <c r="CG130" s="21"/>
      <c r="CH130" s="148" t="s">
        <v>519</v>
      </c>
      <c r="CI130" s="148" t="s">
        <v>21</v>
      </c>
      <c r="CJ130" s="148">
        <v>255</v>
      </c>
      <c r="CK130" s="148" t="s">
        <v>83</v>
      </c>
      <c r="CL130" s="148" t="s">
        <v>83</v>
      </c>
      <c r="CM130" s="148"/>
      <c r="CN130" s="148" t="s">
        <v>613</v>
      </c>
      <c r="CO130" s="149" t="s">
        <v>61</v>
      </c>
      <c r="CP130" s="150"/>
      <c r="CQ130" s="2"/>
      <c r="CR130" s="45"/>
      <c r="CS130" s="45"/>
      <c r="CT130" s="45"/>
      <c r="CU130" s="45"/>
      <c r="CV130" s="10"/>
      <c r="CW130" s="32"/>
      <c r="CX130" s="32"/>
      <c r="CY130" s="31"/>
      <c r="CZ130" s="33"/>
      <c r="DA130" s="31"/>
      <c r="DC130" s="32"/>
      <c r="DD130" s="32"/>
      <c r="DE130" s="87"/>
      <c r="DF130" s="64"/>
      <c r="DH130" s="836" t="s">
        <v>3775</v>
      </c>
      <c r="DI130" s="836" t="s">
        <v>3247</v>
      </c>
      <c r="DJ130" s="837"/>
      <c r="DK130" s="75" t="str">
        <f t="shared" si="24"/>
        <v>94301Q79</v>
      </c>
      <c r="DL130" s="838" t="s">
        <v>3795</v>
      </c>
      <c r="DM130" s="838" t="s">
        <v>3803</v>
      </c>
      <c r="DN130" s="839" t="str">
        <f>T(記入シート1!AB67)</f>
        <v/>
      </c>
      <c r="DO130" s="10"/>
      <c r="DP130" s="10"/>
      <c r="DV130" s="21"/>
      <c r="DX130" s="85"/>
      <c r="DY130" s="85"/>
    </row>
    <row r="131" spans="1:129" ht="19.5" hidden="1" customHeight="1">
      <c r="A131" s="354" t="s">
        <v>1234</v>
      </c>
      <c r="B131" s="181"/>
      <c r="C131" s="1868"/>
      <c r="D131" s="1869"/>
      <c r="E131" s="1869"/>
      <c r="F131" s="1869"/>
      <c r="G131" s="1869"/>
      <c r="H131" s="1869"/>
      <c r="I131" s="1870"/>
      <c r="J131" s="2907" t="s">
        <v>5095</v>
      </c>
      <c r="K131" s="2908"/>
      <c r="L131" s="2908"/>
      <c r="M131" s="2908"/>
      <c r="N131" s="2908"/>
      <c r="O131" s="2908"/>
      <c r="P131" s="2908"/>
      <c r="Q131" s="2908"/>
      <c r="R131" s="2908"/>
      <c r="S131" s="2908"/>
      <c r="T131" s="2908"/>
      <c r="U131" s="1660"/>
      <c r="V131" s="1846">
        <v>2300</v>
      </c>
      <c r="W131" s="1847"/>
      <c r="X131" s="1847"/>
      <c r="Y131" s="1847"/>
      <c r="Z131" s="833" t="s">
        <v>5094</v>
      </c>
      <c r="AA131" s="1845">
        <v>0</v>
      </c>
      <c r="AB131" s="1652"/>
      <c r="AC131" s="1652"/>
      <c r="AD131" s="828" t="s">
        <v>849</v>
      </c>
      <c r="AE131" s="1679">
        <f>IF(V131="","",V131*AA131)</f>
        <v>0</v>
      </c>
      <c r="AF131" s="1679"/>
      <c r="AG131" s="1679"/>
      <c r="AH131" s="1679"/>
      <c r="AI131" s="1679"/>
      <c r="AJ131" s="1680"/>
      <c r="AK131" s="1789"/>
      <c r="AL131" s="1790"/>
      <c r="AM131" s="1790"/>
      <c r="AN131" s="1790"/>
      <c r="AO131" s="1790"/>
      <c r="AP131" s="1790"/>
      <c r="AQ131" s="1790"/>
      <c r="AR131" s="1790"/>
      <c r="AS131" s="1790"/>
      <c r="AT131" s="1689"/>
      <c r="AU131" s="171"/>
      <c r="AW131" s="20" t="s">
        <v>5030</v>
      </c>
      <c r="AX131" s="253"/>
      <c r="BY131" s="11"/>
      <c r="BZ131" s="89" t="s">
        <v>5740</v>
      </c>
      <c r="CA131" s="369" t="s">
        <v>5740</v>
      </c>
      <c r="CB131" s="82" t="s">
        <v>5741</v>
      </c>
      <c r="CC131" s="4"/>
      <c r="CD131" s="108"/>
      <c r="CE131" s="108"/>
      <c r="CF131" s="108"/>
      <c r="CG131" s="21"/>
      <c r="CH131" s="148" t="s">
        <v>520</v>
      </c>
      <c r="CI131" s="148" t="s">
        <v>21</v>
      </c>
      <c r="CJ131" s="148">
        <v>120</v>
      </c>
      <c r="CK131" s="148" t="s">
        <v>432</v>
      </c>
      <c r="CL131" s="148" t="s">
        <v>432</v>
      </c>
      <c r="CM131" s="148"/>
      <c r="CN131" s="148" t="s">
        <v>610</v>
      </c>
      <c r="CO131" s="215" t="s">
        <v>60</v>
      </c>
      <c r="CP131" s="150"/>
      <c r="CQ131" s="2"/>
      <c r="CR131" s="45"/>
      <c r="CS131" s="45"/>
      <c r="CT131" s="45"/>
      <c r="CU131" s="45"/>
      <c r="CV131" s="10"/>
      <c r="CW131" s="32"/>
      <c r="CX131" s="32"/>
      <c r="CY131" s="31"/>
      <c r="CZ131" s="33"/>
      <c r="DA131" s="31"/>
      <c r="DC131" s="32"/>
      <c r="DD131" s="32"/>
      <c r="DE131" s="87"/>
      <c r="DF131" s="64"/>
      <c r="DH131" s="836" t="s">
        <v>3772</v>
      </c>
      <c r="DI131" s="836" t="s">
        <v>2173</v>
      </c>
      <c r="DJ131" s="837"/>
      <c r="DK131" s="75" t="str">
        <f t="shared" si="24"/>
        <v>94401Q82</v>
      </c>
      <c r="DL131" s="838" t="s">
        <v>3804</v>
      </c>
      <c r="DM131" s="838" t="s">
        <v>3805</v>
      </c>
      <c r="DN131" s="839" t="str">
        <f>T(記入シート1!I67)</f>
        <v/>
      </c>
      <c r="DO131" s="10"/>
      <c r="DP131" s="10"/>
      <c r="DV131" s="21"/>
      <c r="DX131" s="85"/>
      <c r="DY131" s="85"/>
    </row>
    <row r="132" spans="1:129" ht="19.5" hidden="1" customHeight="1">
      <c r="A132" s="354" t="s">
        <v>1234</v>
      </c>
      <c r="B132" s="181"/>
      <c r="C132" s="1868"/>
      <c r="D132" s="1869"/>
      <c r="E132" s="1869"/>
      <c r="F132" s="1869"/>
      <c r="G132" s="1869"/>
      <c r="H132" s="1869"/>
      <c r="I132" s="1870"/>
      <c r="J132" s="1824"/>
      <c r="K132" s="1825"/>
      <c r="L132" s="1825"/>
      <c r="M132" s="1825"/>
      <c r="N132" s="1825"/>
      <c r="O132" s="1825"/>
      <c r="P132" s="1825"/>
      <c r="Q132" s="1825"/>
      <c r="R132" s="1825"/>
      <c r="S132" s="1825"/>
      <c r="T132" s="1825"/>
      <c r="U132" s="2909"/>
      <c r="V132" s="1846">
        <v>0</v>
      </c>
      <c r="W132" s="1847"/>
      <c r="X132" s="1847"/>
      <c r="Y132" s="1847"/>
      <c r="Z132" s="833" t="str">
        <f t="shared" ref="Z132:Z144" si="26">IF(V132="","","/"&amp;AD132)</f>
        <v>/</v>
      </c>
      <c r="AA132" s="2881">
        <v>0</v>
      </c>
      <c r="AB132" s="1871"/>
      <c r="AC132" s="1871"/>
      <c r="AD132" s="394"/>
      <c r="AE132" s="1679">
        <v>0</v>
      </c>
      <c r="AF132" s="1679"/>
      <c r="AG132" s="1679"/>
      <c r="AH132" s="1679"/>
      <c r="AI132" s="1679"/>
      <c r="AJ132" s="1680"/>
      <c r="AK132" s="1687"/>
      <c r="AL132" s="1688"/>
      <c r="AM132" s="1688"/>
      <c r="AN132" s="1688"/>
      <c r="AO132" s="1688"/>
      <c r="AP132" s="1688"/>
      <c r="AQ132" s="1688"/>
      <c r="AR132" s="1688"/>
      <c r="AS132" s="1688"/>
      <c r="AT132" s="1689"/>
      <c r="AU132" s="171"/>
      <c r="AX132" s="253"/>
      <c r="BY132" s="11"/>
      <c r="BZ132" s="89"/>
      <c r="CC132" s="4"/>
      <c r="CD132" s="108"/>
      <c r="CE132" s="108"/>
      <c r="CF132" s="108"/>
      <c r="CG132" s="21"/>
      <c r="CH132" s="148" t="s">
        <v>521</v>
      </c>
      <c r="CI132" s="148" t="s">
        <v>21</v>
      </c>
      <c r="CJ132" s="148">
        <v>120</v>
      </c>
      <c r="CK132" s="148" t="s">
        <v>83</v>
      </c>
      <c r="CL132" s="148" t="s">
        <v>83</v>
      </c>
      <c r="CM132" s="148"/>
      <c r="CN132" s="148" t="s">
        <v>610</v>
      </c>
      <c r="CO132" s="215" t="s">
        <v>59</v>
      </c>
      <c r="CP132" s="150"/>
      <c r="CQ132" s="2"/>
      <c r="CR132" s="45"/>
      <c r="CS132" s="45"/>
      <c r="CT132" s="45"/>
      <c r="CU132" s="45"/>
      <c r="CV132" s="10"/>
      <c r="CW132" s="32"/>
      <c r="CX132" s="32"/>
      <c r="CY132" s="31"/>
      <c r="CZ132" s="33"/>
      <c r="DA132" s="31"/>
      <c r="DC132" s="32"/>
      <c r="DD132" s="32"/>
      <c r="DE132" s="87"/>
      <c r="DF132" s="64"/>
      <c r="DH132" s="836" t="s">
        <v>3772</v>
      </c>
      <c r="DI132" s="836" t="s">
        <v>3238</v>
      </c>
      <c r="DJ132" s="837"/>
      <c r="DK132" s="75" t="str">
        <f t="shared" si="24"/>
        <v>94401Q83</v>
      </c>
      <c r="DL132" s="838" t="s">
        <v>3804</v>
      </c>
      <c r="DM132" s="838" t="s">
        <v>3806</v>
      </c>
      <c r="DN132" s="839" t="str">
        <f>T(記入シート1!I66)</f>
        <v/>
      </c>
      <c r="DO132" s="10"/>
      <c r="DP132" s="10"/>
      <c r="DV132" s="21"/>
      <c r="DX132" s="85"/>
      <c r="DY132" s="85"/>
    </row>
    <row r="133" spans="1:129" ht="19.5" hidden="1" customHeight="1">
      <c r="A133" s="354" t="s">
        <v>3574</v>
      </c>
      <c r="B133" s="181"/>
      <c r="C133" s="1868"/>
      <c r="D133" s="1869"/>
      <c r="E133" s="1869"/>
      <c r="F133" s="1869"/>
      <c r="G133" s="1869"/>
      <c r="H133" s="1869"/>
      <c r="I133" s="1870"/>
      <c r="J133" s="1824"/>
      <c r="K133" s="1825"/>
      <c r="L133" s="1825"/>
      <c r="M133" s="1825"/>
      <c r="N133" s="1825"/>
      <c r="O133" s="1825"/>
      <c r="P133" s="1825"/>
      <c r="Q133" s="1825"/>
      <c r="R133" s="1825"/>
      <c r="S133" s="1825"/>
      <c r="T133" s="1825"/>
      <c r="U133" s="2909"/>
      <c r="V133" s="1846">
        <v>0</v>
      </c>
      <c r="W133" s="1847"/>
      <c r="X133" s="1847"/>
      <c r="Y133" s="1847"/>
      <c r="Z133" s="833" t="str">
        <f t="shared" si="26"/>
        <v>/</v>
      </c>
      <c r="AA133" s="1845">
        <v>0</v>
      </c>
      <c r="AB133" s="1829"/>
      <c r="AC133" s="1829"/>
      <c r="AD133" s="828"/>
      <c r="AE133" s="1679">
        <f t="shared" si="25"/>
        <v>0</v>
      </c>
      <c r="AF133" s="1679"/>
      <c r="AG133" s="1679"/>
      <c r="AH133" s="1679"/>
      <c r="AI133" s="1679"/>
      <c r="AJ133" s="1680"/>
      <c r="AK133" s="1687"/>
      <c r="AL133" s="1688"/>
      <c r="AM133" s="1688"/>
      <c r="AN133" s="1688"/>
      <c r="AO133" s="1688"/>
      <c r="AP133" s="1688"/>
      <c r="AQ133" s="1688"/>
      <c r="AR133" s="1688"/>
      <c r="AS133" s="1688"/>
      <c r="AT133" s="1689"/>
      <c r="AU133" s="171"/>
      <c r="AX133" s="253"/>
      <c r="BY133" s="11"/>
      <c r="BZ133" s="89"/>
      <c r="CC133" s="4"/>
      <c r="CD133" s="108"/>
      <c r="CE133" s="108"/>
      <c r="CF133" s="108"/>
      <c r="CG133" s="21"/>
      <c r="CH133" s="148" t="s">
        <v>522</v>
      </c>
      <c r="CI133" s="148" t="s">
        <v>21</v>
      </c>
      <c r="CJ133" s="148">
        <v>120</v>
      </c>
      <c r="CK133" s="148" t="s">
        <v>523</v>
      </c>
      <c r="CL133" s="148" t="s">
        <v>523</v>
      </c>
      <c r="CM133" s="148"/>
      <c r="CN133" s="148" t="s">
        <v>610</v>
      </c>
      <c r="CO133" s="149" t="s">
        <v>58</v>
      </c>
      <c r="CP133" s="150"/>
      <c r="CQ133" s="2"/>
      <c r="CR133" s="45"/>
      <c r="CS133" s="45"/>
      <c r="CT133" s="45"/>
      <c r="CU133" s="45"/>
      <c r="CV133" s="10"/>
      <c r="CW133" s="32"/>
      <c r="CX133" s="32"/>
      <c r="CY133" s="31"/>
      <c r="CZ133" s="33"/>
      <c r="DA133" s="31"/>
      <c r="DC133" s="32"/>
      <c r="DD133" s="32"/>
      <c r="DE133" s="87"/>
      <c r="DF133" s="64"/>
      <c r="DH133" s="836" t="s">
        <v>2153</v>
      </c>
      <c r="DI133" s="836" t="s">
        <v>3238</v>
      </c>
      <c r="DJ133" s="837"/>
      <c r="DK133" s="75" t="str">
        <f t="shared" si="24"/>
        <v>93801Q27</v>
      </c>
      <c r="DL133" s="838" t="s">
        <v>3360</v>
      </c>
      <c r="DM133" s="838" t="s">
        <v>4091</v>
      </c>
      <c r="DN133" s="839" t="str">
        <f>T(記入シート1!I66)</f>
        <v/>
      </c>
      <c r="DO133" s="10"/>
      <c r="DP133" s="10"/>
      <c r="DV133" s="21"/>
      <c r="DX133" s="85"/>
      <c r="DY133" s="85"/>
    </row>
    <row r="134" spans="1:129" ht="19.5" hidden="1" customHeight="1">
      <c r="A134" s="354" t="s">
        <v>1234</v>
      </c>
      <c r="B134" s="181"/>
      <c r="C134" s="1868"/>
      <c r="D134" s="1869"/>
      <c r="E134" s="1869"/>
      <c r="F134" s="1869"/>
      <c r="G134" s="1869"/>
      <c r="H134" s="1869"/>
      <c r="I134" s="1870"/>
      <c r="J134" s="1830"/>
      <c r="K134" s="1830"/>
      <c r="L134" s="1830"/>
      <c r="M134" s="1830"/>
      <c r="N134" s="1830"/>
      <c r="O134" s="1830"/>
      <c r="P134" s="1830"/>
      <c r="Q134" s="1830"/>
      <c r="R134" s="1830"/>
      <c r="S134" s="1830"/>
      <c r="T134" s="1830"/>
      <c r="U134" s="2910"/>
      <c r="V134" s="1846">
        <v>0</v>
      </c>
      <c r="W134" s="1847"/>
      <c r="X134" s="1847"/>
      <c r="Y134" s="1847"/>
      <c r="Z134" s="833" t="str">
        <f t="shared" si="26"/>
        <v>/</v>
      </c>
      <c r="AA134" s="2881">
        <v>0</v>
      </c>
      <c r="AB134" s="1833"/>
      <c r="AC134" s="1833"/>
      <c r="AD134" s="829"/>
      <c r="AE134" s="1834">
        <f t="shared" si="25"/>
        <v>0</v>
      </c>
      <c r="AF134" s="1834"/>
      <c r="AG134" s="1834"/>
      <c r="AH134" s="1834"/>
      <c r="AI134" s="1834"/>
      <c r="AJ134" s="1835"/>
      <c r="AK134" s="1687"/>
      <c r="AL134" s="1688"/>
      <c r="AM134" s="1688"/>
      <c r="AN134" s="1688"/>
      <c r="AO134" s="1688"/>
      <c r="AP134" s="1688"/>
      <c r="AQ134" s="1688"/>
      <c r="AR134" s="1688"/>
      <c r="AS134" s="1688"/>
      <c r="AT134" s="1689"/>
      <c r="AU134" s="171"/>
      <c r="AX134" s="253"/>
      <c r="BZ134" s="89"/>
      <c r="CC134" s="4"/>
      <c r="CD134" s="108"/>
      <c r="CE134" s="108"/>
      <c r="CF134" s="108"/>
      <c r="CG134" s="21"/>
      <c r="CH134" s="148" t="s">
        <v>57</v>
      </c>
      <c r="CI134" s="148" t="s">
        <v>21</v>
      </c>
      <c r="CJ134" s="148">
        <v>120</v>
      </c>
      <c r="CK134" s="148" t="s">
        <v>83</v>
      </c>
      <c r="CL134" s="148" t="s">
        <v>83</v>
      </c>
      <c r="CM134" s="148"/>
      <c r="CN134" s="148" t="s">
        <v>610</v>
      </c>
      <c r="CO134" s="149" t="s">
        <v>56</v>
      </c>
      <c r="CP134" s="150"/>
      <c r="CQ134" s="2"/>
      <c r="CR134" s="45"/>
      <c r="CS134" s="45"/>
      <c r="CT134" s="45"/>
      <c r="CU134" s="45"/>
      <c r="CV134" s="10"/>
      <c r="CW134" s="32"/>
      <c r="CX134" s="32"/>
      <c r="CY134" s="31"/>
      <c r="CZ134" s="33"/>
      <c r="DA134" s="31"/>
      <c r="DC134" s="32"/>
      <c r="DD134" s="32"/>
      <c r="DE134" s="87"/>
      <c r="DF134" s="64"/>
      <c r="DH134" s="836" t="s">
        <v>2153</v>
      </c>
      <c r="DI134" s="836" t="s">
        <v>4090</v>
      </c>
      <c r="DJ134" s="837"/>
      <c r="DK134" s="75" t="str">
        <f t="shared" si="24"/>
        <v>93801Q28</v>
      </c>
      <c r="DL134" s="838" t="s">
        <v>3360</v>
      </c>
      <c r="DM134" s="838" t="s">
        <v>4092</v>
      </c>
      <c r="DN134" s="839" t="str">
        <f>T(記入シート1!AB67)</f>
        <v/>
      </c>
      <c r="DO134" s="10"/>
      <c r="DP134" s="10"/>
      <c r="DV134" s="21"/>
      <c r="DX134" s="85"/>
      <c r="DY134" s="85"/>
    </row>
    <row r="135" spans="1:129" ht="19.5" hidden="1" customHeight="1">
      <c r="A135" s="354" t="s">
        <v>1234</v>
      </c>
      <c r="B135" s="181"/>
      <c r="C135" s="1868"/>
      <c r="D135" s="1869"/>
      <c r="E135" s="1869"/>
      <c r="F135" s="1869"/>
      <c r="G135" s="1869"/>
      <c r="H135" s="1869"/>
      <c r="I135" s="1870"/>
      <c r="J135" s="1655"/>
      <c r="K135" s="1656"/>
      <c r="L135" s="1656"/>
      <c r="M135" s="1656"/>
      <c r="N135" s="1656"/>
      <c r="O135" s="1656"/>
      <c r="P135" s="1656"/>
      <c r="Q135" s="1656"/>
      <c r="R135" s="1656"/>
      <c r="S135" s="1656"/>
      <c r="T135" s="1656"/>
      <c r="U135" s="2882"/>
      <c r="V135" s="1846">
        <v>0</v>
      </c>
      <c r="W135" s="1847"/>
      <c r="X135" s="1847"/>
      <c r="Y135" s="1847"/>
      <c r="Z135" s="833" t="str">
        <f t="shared" si="26"/>
        <v>/</v>
      </c>
      <c r="AA135" s="1845">
        <v>0</v>
      </c>
      <c r="AB135" s="1652"/>
      <c r="AC135" s="1652"/>
      <c r="AD135" s="829"/>
      <c r="AE135" s="1679">
        <f t="shared" si="25"/>
        <v>0</v>
      </c>
      <c r="AF135" s="1679"/>
      <c r="AG135" s="1679"/>
      <c r="AH135" s="1679"/>
      <c r="AI135" s="1679"/>
      <c r="AJ135" s="1680"/>
      <c r="AK135" s="1789"/>
      <c r="AL135" s="1790"/>
      <c r="AM135" s="1790"/>
      <c r="AN135" s="1790"/>
      <c r="AO135" s="1790"/>
      <c r="AP135" s="1790"/>
      <c r="AQ135" s="1790"/>
      <c r="AR135" s="1790"/>
      <c r="AS135" s="1790"/>
      <c r="AT135" s="1689"/>
      <c r="AU135" s="171"/>
      <c r="AX135" s="253"/>
      <c r="BY135" s="11"/>
      <c r="BZ135" s="89"/>
      <c r="CC135" s="4"/>
      <c r="CD135" s="108"/>
      <c r="CE135" s="108"/>
      <c r="CF135" s="108"/>
      <c r="CG135" s="21"/>
      <c r="CH135" s="148" t="s">
        <v>524</v>
      </c>
      <c r="CI135" s="148" t="s">
        <v>19</v>
      </c>
      <c r="CJ135" s="148">
        <v>1</v>
      </c>
      <c r="CK135" s="148" t="s">
        <v>20</v>
      </c>
      <c r="CL135" s="148" t="s">
        <v>20</v>
      </c>
      <c r="CM135" s="148" t="s">
        <v>508</v>
      </c>
      <c r="CN135" s="148" t="s">
        <v>614</v>
      </c>
      <c r="CO135" s="149" t="s">
        <v>55</v>
      </c>
      <c r="CP135" s="150"/>
      <c r="CQ135" s="2"/>
      <c r="CR135" s="45"/>
      <c r="CS135" s="45"/>
      <c r="CT135" s="45"/>
      <c r="CU135" s="45"/>
      <c r="CV135" s="10"/>
      <c r="CW135" s="32"/>
      <c r="CX135" s="32"/>
      <c r="CY135" s="31"/>
      <c r="CZ135" s="33"/>
      <c r="DA135" s="31"/>
      <c r="DC135" s="32"/>
      <c r="DD135" s="32"/>
      <c r="DE135" s="87"/>
      <c r="DF135" s="64"/>
      <c r="DH135" s="836" t="s">
        <v>4408</v>
      </c>
      <c r="DI135" s="836" t="s">
        <v>4409</v>
      </c>
      <c r="DJ135" s="837"/>
      <c r="DK135" s="75" t="str">
        <f t="shared" si="24"/>
        <v>10607UR1</v>
      </c>
      <c r="DL135" s="838" t="s">
        <v>4416</v>
      </c>
      <c r="DM135" s="838" t="s">
        <v>4412</v>
      </c>
      <c r="DN135" s="839">
        <f>IF(AS18="包括",1,4)</f>
        <v>1</v>
      </c>
      <c r="DO135" s="10"/>
      <c r="DP135" s="10"/>
      <c r="DV135" s="21"/>
      <c r="DX135" s="85"/>
      <c r="DY135" s="85"/>
    </row>
    <row r="136" spans="1:129" ht="19.5" hidden="1" customHeight="1">
      <c r="A136" s="354" t="s">
        <v>1234</v>
      </c>
      <c r="B136" s="181"/>
      <c r="C136" s="1868"/>
      <c r="D136" s="1869"/>
      <c r="E136" s="1869"/>
      <c r="F136" s="1869"/>
      <c r="G136" s="1869"/>
      <c r="H136" s="1869"/>
      <c r="I136" s="1870"/>
      <c r="J136" s="1655"/>
      <c r="K136" s="1656"/>
      <c r="L136" s="1656"/>
      <c r="M136" s="1656"/>
      <c r="N136" s="1656"/>
      <c r="O136" s="1656"/>
      <c r="P136" s="1656"/>
      <c r="Q136" s="1656"/>
      <c r="R136" s="1656"/>
      <c r="S136" s="1656"/>
      <c r="T136" s="1656"/>
      <c r="U136" s="2882"/>
      <c r="V136" s="1846">
        <v>0</v>
      </c>
      <c r="W136" s="1847"/>
      <c r="X136" s="1847"/>
      <c r="Y136" s="1847"/>
      <c r="Z136" s="833" t="str">
        <f t="shared" si="26"/>
        <v>/</v>
      </c>
      <c r="AA136" s="1845">
        <v>0</v>
      </c>
      <c r="AB136" s="1652"/>
      <c r="AC136" s="1652"/>
      <c r="AD136" s="829"/>
      <c r="AE136" s="1679">
        <f t="shared" si="25"/>
        <v>0</v>
      </c>
      <c r="AF136" s="1679"/>
      <c r="AG136" s="1679"/>
      <c r="AH136" s="1679"/>
      <c r="AI136" s="1679"/>
      <c r="AJ136" s="1680"/>
      <c r="AK136" s="1789"/>
      <c r="AL136" s="1790"/>
      <c r="AM136" s="1790"/>
      <c r="AN136" s="1790"/>
      <c r="AO136" s="1790"/>
      <c r="AP136" s="1790"/>
      <c r="AQ136" s="1790"/>
      <c r="AR136" s="1790"/>
      <c r="AS136" s="1790"/>
      <c r="AT136" s="1689"/>
      <c r="AU136" s="171"/>
      <c r="AX136" s="253"/>
      <c r="BZ136" s="89"/>
      <c r="CC136" s="4"/>
      <c r="CD136" s="108"/>
      <c r="CE136" s="108"/>
      <c r="CF136" s="108"/>
      <c r="CG136" s="21"/>
      <c r="CH136" s="148" t="s">
        <v>525</v>
      </c>
      <c r="CI136" s="148" t="s">
        <v>21</v>
      </c>
      <c r="CJ136" s="148">
        <v>255</v>
      </c>
      <c r="CK136" s="148" t="s">
        <v>20</v>
      </c>
      <c r="CL136" s="148" t="s">
        <v>20</v>
      </c>
      <c r="CM136" s="216"/>
      <c r="CN136" s="148" t="s">
        <v>615</v>
      </c>
      <c r="CO136" s="149" t="s">
        <v>53</v>
      </c>
      <c r="CP136" s="150"/>
      <c r="CQ136" s="2"/>
      <c r="CR136" s="45"/>
      <c r="CS136" s="45"/>
      <c r="CT136" s="45"/>
      <c r="CU136" s="45"/>
      <c r="CV136" s="10"/>
      <c r="CW136" s="32"/>
      <c r="CX136" s="32"/>
      <c r="CY136" s="31"/>
      <c r="CZ136" s="33"/>
      <c r="DA136" s="31"/>
      <c r="DC136" s="32"/>
      <c r="DD136" s="32"/>
      <c r="DE136" s="87"/>
      <c r="DF136" s="64"/>
      <c r="DH136" s="836" t="s">
        <v>4408</v>
      </c>
      <c r="DI136" s="836" t="s">
        <v>4410</v>
      </c>
      <c r="DJ136" s="837"/>
      <c r="DK136" s="75" t="str">
        <f t="shared" si="24"/>
        <v>10607UR3</v>
      </c>
      <c r="DL136" s="838" t="s">
        <v>4417</v>
      </c>
      <c r="DM136" s="838" t="s">
        <v>4413</v>
      </c>
      <c r="DN136" s="839" t="str">
        <f ca="1">IF(LEN(【JCB用記入シート】業態シート!G4)=5,【JCB用記入シート】業態シート!G4,"")</f>
        <v/>
      </c>
      <c r="DO136" s="10"/>
      <c r="DP136" s="20"/>
      <c r="DQ136" s="253"/>
      <c r="DR136" s="253"/>
      <c r="DS136" s="253"/>
      <c r="DT136" s="253"/>
      <c r="DU136" s="253"/>
      <c r="DV136" s="21"/>
      <c r="DX136" s="85"/>
      <c r="DY136" s="85"/>
    </row>
    <row r="137" spans="1:129" ht="19.5" hidden="1" customHeight="1">
      <c r="A137" s="354" t="s">
        <v>1234</v>
      </c>
      <c r="B137" s="181"/>
      <c r="C137" s="1868"/>
      <c r="D137" s="1869"/>
      <c r="E137" s="1869"/>
      <c r="F137" s="1869"/>
      <c r="G137" s="1869"/>
      <c r="H137" s="1869"/>
      <c r="I137" s="1870"/>
      <c r="J137" s="1655"/>
      <c r="K137" s="1656"/>
      <c r="L137" s="1656"/>
      <c r="M137" s="1656"/>
      <c r="N137" s="1656"/>
      <c r="O137" s="1656"/>
      <c r="P137" s="1656"/>
      <c r="Q137" s="1656"/>
      <c r="R137" s="1656"/>
      <c r="S137" s="1656"/>
      <c r="T137" s="1656"/>
      <c r="U137" s="2882"/>
      <c r="V137" s="1846">
        <v>0</v>
      </c>
      <c r="W137" s="1847"/>
      <c r="X137" s="1847"/>
      <c r="Y137" s="1847"/>
      <c r="Z137" s="833" t="str">
        <f t="shared" si="26"/>
        <v>/</v>
      </c>
      <c r="AA137" s="1845">
        <v>0</v>
      </c>
      <c r="AB137" s="1652"/>
      <c r="AC137" s="1652"/>
      <c r="AD137" s="829"/>
      <c r="AE137" s="1679">
        <f t="shared" si="25"/>
        <v>0</v>
      </c>
      <c r="AF137" s="1679"/>
      <c r="AG137" s="1679"/>
      <c r="AH137" s="1679"/>
      <c r="AI137" s="1679"/>
      <c r="AJ137" s="1680"/>
      <c r="AK137" s="1789"/>
      <c r="AL137" s="1790"/>
      <c r="AM137" s="1790"/>
      <c r="AN137" s="1790"/>
      <c r="AO137" s="1790"/>
      <c r="AP137" s="1790"/>
      <c r="AQ137" s="1790"/>
      <c r="AR137" s="1790"/>
      <c r="AS137" s="1790"/>
      <c r="AT137" s="1689"/>
      <c r="AU137" s="171"/>
      <c r="AX137" s="253"/>
      <c r="BZ137" s="89"/>
      <c r="CC137" s="4"/>
      <c r="CD137" s="108"/>
      <c r="CE137" s="108"/>
      <c r="CF137" s="108"/>
      <c r="CG137" s="21"/>
      <c r="CH137" s="148" t="s">
        <v>526</v>
      </c>
      <c r="CI137" s="148" t="s">
        <v>21</v>
      </c>
      <c r="CJ137" s="148">
        <v>255</v>
      </c>
      <c r="CK137" s="148" t="s">
        <v>20</v>
      </c>
      <c r="CL137" s="148" t="s">
        <v>20</v>
      </c>
      <c r="CM137" s="216"/>
      <c r="CN137" s="148" t="s">
        <v>615</v>
      </c>
      <c r="CO137" s="149" t="s">
        <v>52</v>
      </c>
      <c r="CP137" s="150"/>
      <c r="CQ137" s="2"/>
      <c r="CR137" s="45"/>
      <c r="CS137" s="45"/>
      <c r="CT137" s="45"/>
      <c r="CU137" s="45"/>
      <c r="CV137" s="10"/>
      <c r="CW137" s="32"/>
      <c r="CX137" s="32"/>
      <c r="CY137" s="31"/>
      <c r="CZ137" s="33"/>
      <c r="DA137" s="31"/>
      <c r="DC137" s="32"/>
      <c r="DD137" s="32"/>
      <c r="DE137" s="87"/>
      <c r="DF137" s="64"/>
      <c r="DH137" s="836" t="s">
        <v>4408</v>
      </c>
      <c r="DI137" s="836" t="s">
        <v>4411</v>
      </c>
      <c r="DJ137" s="837"/>
      <c r="DK137" s="75" t="str">
        <f t="shared" si="24"/>
        <v>10607UR4</v>
      </c>
      <c r="DL137" s="838" t="s">
        <v>4418</v>
      </c>
      <c r="DM137" s="838" t="s">
        <v>4414</v>
      </c>
      <c r="DN137" s="839" t="str">
        <f>TEXT(記入シート1!AI85,"0000")&amp;TEXT(記入シート1!AM85,"00")&amp;TEXT(記入シート1!AQ85,"00")</f>
        <v>00000000</v>
      </c>
      <c r="DO137" s="10"/>
      <c r="DP137" s="20"/>
      <c r="DQ137" s="253"/>
      <c r="DR137" s="253"/>
      <c r="DS137" s="253"/>
      <c r="DT137" s="253"/>
      <c r="DU137" s="253"/>
      <c r="DV137" s="21"/>
      <c r="DX137" s="85"/>
      <c r="DY137" s="85"/>
    </row>
    <row r="138" spans="1:129" ht="19.5" hidden="1" customHeight="1">
      <c r="A138" s="354" t="s">
        <v>3574</v>
      </c>
      <c r="B138" s="181"/>
      <c r="C138" s="1868"/>
      <c r="D138" s="1869"/>
      <c r="E138" s="1869"/>
      <c r="F138" s="1869"/>
      <c r="G138" s="1869"/>
      <c r="H138" s="1869"/>
      <c r="I138" s="1870"/>
      <c r="J138" s="1655"/>
      <c r="K138" s="1656"/>
      <c r="L138" s="1656"/>
      <c r="M138" s="1656"/>
      <c r="N138" s="1656"/>
      <c r="O138" s="1656"/>
      <c r="P138" s="1656"/>
      <c r="Q138" s="1656"/>
      <c r="R138" s="1656"/>
      <c r="S138" s="1656"/>
      <c r="T138" s="1656"/>
      <c r="U138" s="2882"/>
      <c r="V138" s="1846">
        <v>0</v>
      </c>
      <c r="W138" s="1847"/>
      <c r="X138" s="1847"/>
      <c r="Y138" s="1847"/>
      <c r="Z138" s="833" t="str">
        <f t="shared" si="26"/>
        <v>/</v>
      </c>
      <c r="AA138" s="1845">
        <v>0</v>
      </c>
      <c r="AB138" s="1652"/>
      <c r="AC138" s="1652"/>
      <c r="AD138" s="829"/>
      <c r="AE138" s="1679">
        <f t="shared" si="25"/>
        <v>0</v>
      </c>
      <c r="AF138" s="1679"/>
      <c r="AG138" s="1679"/>
      <c r="AH138" s="1679"/>
      <c r="AI138" s="1679"/>
      <c r="AJ138" s="1680"/>
      <c r="AK138" s="1789"/>
      <c r="AL138" s="1790"/>
      <c r="AM138" s="1790"/>
      <c r="AN138" s="1790"/>
      <c r="AO138" s="1790"/>
      <c r="AP138" s="1790"/>
      <c r="AQ138" s="1790"/>
      <c r="AR138" s="1790"/>
      <c r="AS138" s="1790"/>
      <c r="AT138" s="1689"/>
      <c r="AU138" s="171"/>
      <c r="AX138" s="253"/>
      <c r="BZ138" s="89"/>
      <c r="CC138" s="4"/>
      <c r="CD138" s="108"/>
      <c r="CE138" s="108"/>
      <c r="CF138" s="108"/>
      <c r="CG138" s="21"/>
      <c r="CH138" s="148" t="s">
        <v>527</v>
      </c>
      <c r="CI138" s="148" t="s">
        <v>19</v>
      </c>
      <c r="CJ138" s="148">
        <v>1</v>
      </c>
      <c r="CK138" s="148" t="s">
        <v>20</v>
      </c>
      <c r="CL138" s="148" t="s">
        <v>20</v>
      </c>
      <c r="CM138" s="148" t="s">
        <v>508</v>
      </c>
      <c r="CN138" s="148" t="s">
        <v>616</v>
      </c>
      <c r="CO138" s="149" t="s">
        <v>51</v>
      </c>
      <c r="CP138" s="150"/>
      <c r="CQ138" s="2"/>
      <c r="CR138" s="45"/>
      <c r="CS138" s="45"/>
      <c r="CT138" s="45"/>
      <c r="CU138" s="45"/>
      <c r="CV138" s="10"/>
      <c r="CW138" s="32"/>
      <c r="CX138" s="32"/>
      <c r="CY138" s="31"/>
      <c r="CZ138" s="33"/>
      <c r="DA138" s="31"/>
      <c r="DC138" s="32"/>
      <c r="DD138" s="32"/>
      <c r="DE138" s="87"/>
      <c r="DF138" s="64"/>
      <c r="DH138" s="836" t="s">
        <v>4408</v>
      </c>
      <c r="DI138" s="836" t="s">
        <v>2174</v>
      </c>
      <c r="DJ138" s="837"/>
      <c r="DK138" s="75" t="str">
        <f t="shared" si="24"/>
        <v>10607UR5</v>
      </c>
      <c r="DL138" s="838" t="s">
        <v>4419</v>
      </c>
      <c r="DM138" s="838" t="s">
        <v>4415</v>
      </c>
      <c r="DN138" s="839" t="str">
        <f>ASC(記入シート1!AX88)</f>
        <v>01</v>
      </c>
      <c r="DO138" s="10"/>
      <c r="DP138" s="20"/>
      <c r="DQ138" s="253"/>
      <c r="DR138" s="253"/>
      <c r="DS138" s="253"/>
      <c r="DT138" s="253"/>
      <c r="DU138" s="253"/>
      <c r="DV138" s="21"/>
      <c r="DX138" s="85"/>
      <c r="DY138" s="85"/>
    </row>
    <row r="139" spans="1:129" ht="19.5" hidden="1" customHeight="1">
      <c r="A139" s="354" t="s">
        <v>1234</v>
      </c>
      <c r="B139" s="181"/>
      <c r="C139" s="1868"/>
      <c r="D139" s="1869"/>
      <c r="E139" s="1869"/>
      <c r="F139" s="1869"/>
      <c r="G139" s="1869"/>
      <c r="H139" s="1869"/>
      <c r="I139" s="1870"/>
      <c r="J139" s="1655"/>
      <c r="K139" s="1656"/>
      <c r="L139" s="1656"/>
      <c r="M139" s="1656"/>
      <c r="N139" s="1656"/>
      <c r="O139" s="1656"/>
      <c r="P139" s="1656"/>
      <c r="Q139" s="1656"/>
      <c r="R139" s="1656"/>
      <c r="S139" s="1656"/>
      <c r="T139" s="1656"/>
      <c r="U139" s="2882"/>
      <c r="V139" s="1846">
        <v>0</v>
      </c>
      <c r="W139" s="1847"/>
      <c r="X139" s="1847"/>
      <c r="Y139" s="1847"/>
      <c r="Z139" s="833" t="str">
        <f t="shared" si="26"/>
        <v>/</v>
      </c>
      <c r="AA139" s="2881">
        <v>0</v>
      </c>
      <c r="AB139" s="1871"/>
      <c r="AC139" s="1871"/>
      <c r="AD139" s="829"/>
      <c r="AE139" s="1679">
        <f t="shared" si="25"/>
        <v>0</v>
      </c>
      <c r="AF139" s="1679"/>
      <c r="AG139" s="1679"/>
      <c r="AH139" s="1679"/>
      <c r="AI139" s="1679"/>
      <c r="AJ139" s="1680"/>
      <c r="AK139" s="1789"/>
      <c r="AL139" s="1790"/>
      <c r="AM139" s="1790"/>
      <c r="AN139" s="1790"/>
      <c r="AO139" s="1790"/>
      <c r="AP139" s="1790"/>
      <c r="AQ139" s="1790"/>
      <c r="AR139" s="1790"/>
      <c r="AS139" s="1790"/>
      <c r="AT139" s="1689"/>
      <c r="AU139" s="171"/>
      <c r="AX139" s="253"/>
      <c r="BZ139" s="89"/>
      <c r="CC139" s="4"/>
      <c r="CD139" s="108"/>
      <c r="CE139" s="108"/>
      <c r="CF139" s="108"/>
      <c r="CG139" s="21"/>
      <c r="CH139" s="148" t="s">
        <v>528</v>
      </c>
      <c r="CI139" s="148" t="s">
        <v>21</v>
      </c>
      <c r="CJ139" s="148">
        <v>255</v>
      </c>
      <c r="CK139" s="148" t="s">
        <v>20</v>
      </c>
      <c r="CL139" s="148" t="s">
        <v>20</v>
      </c>
      <c r="CM139" s="216"/>
      <c r="CN139" s="148" t="s">
        <v>617</v>
      </c>
      <c r="CO139" s="149" t="s">
        <v>50</v>
      </c>
      <c r="CP139" s="150"/>
      <c r="CQ139" s="2"/>
      <c r="CR139" s="45"/>
      <c r="CS139" s="45"/>
      <c r="CT139" s="45"/>
      <c r="CU139" s="45"/>
      <c r="CV139" s="10"/>
      <c r="CW139" s="32"/>
      <c r="CX139" s="32"/>
      <c r="CY139" s="31"/>
      <c r="CZ139" s="33"/>
      <c r="DA139" s="31"/>
      <c r="DC139" s="32"/>
      <c r="DD139" s="32"/>
      <c r="DE139" s="87"/>
      <c r="DF139" s="64"/>
      <c r="DH139" s="836" t="s">
        <v>2244</v>
      </c>
      <c r="DI139" s="836" t="s">
        <v>4860</v>
      </c>
      <c r="DJ139" s="836"/>
      <c r="DK139" s="836" t="str">
        <f t="shared" si="24"/>
        <v>93701Q14</v>
      </c>
      <c r="DL139" s="838" t="s">
        <v>3357</v>
      </c>
      <c r="DM139" s="838" t="s">
        <v>4861</v>
      </c>
      <c r="DN139" s="839" t="str">
        <f>IFERROR(IF(BC62=0,"",ASC(BC62)),"")</f>
        <v>37</v>
      </c>
      <c r="DO139" s="20"/>
      <c r="DV139" s="21"/>
      <c r="DX139" s="85"/>
      <c r="DY139" s="85"/>
    </row>
    <row r="140" spans="1:129" ht="19.5" hidden="1" customHeight="1">
      <c r="A140" s="354" t="s">
        <v>1234</v>
      </c>
      <c r="B140" s="181"/>
      <c r="C140" s="1868"/>
      <c r="D140" s="1869"/>
      <c r="E140" s="1869"/>
      <c r="F140" s="1869"/>
      <c r="G140" s="1869"/>
      <c r="H140" s="1869"/>
      <c r="I140" s="1870"/>
      <c r="J140" s="1655"/>
      <c r="K140" s="1656"/>
      <c r="L140" s="1656"/>
      <c r="M140" s="1656"/>
      <c r="N140" s="1656"/>
      <c r="O140" s="1656"/>
      <c r="P140" s="1656"/>
      <c r="Q140" s="1656"/>
      <c r="R140" s="1656"/>
      <c r="S140" s="1656"/>
      <c r="T140" s="1656"/>
      <c r="U140" s="2882"/>
      <c r="V140" s="1846">
        <v>0</v>
      </c>
      <c r="W140" s="1847"/>
      <c r="X140" s="1847"/>
      <c r="Y140" s="1847"/>
      <c r="Z140" s="833" t="str">
        <f t="shared" si="26"/>
        <v>/</v>
      </c>
      <c r="AA140" s="1845">
        <v>0</v>
      </c>
      <c r="AB140" s="1652"/>
      <c r="AC140" s="1652"/>
      <c r="AD140" s="829"/>
      <c r="AE140" s="1679">
        <f t="shared" si="25"/>
        <v>0</v>
      </c>
      <c r="AF140" s="1679"/>
      <c r="AG140" s="1679"/>
      <c r="AH140" s="1679"/>
      <c r="AI140" s="1679"/>
      <c r="AJ140" s="1680"/>
      <c r="AK140" s="1789"/>
      <c r="AL140" s="1790"/>
      <c r="AM140" s="1790"/>
      <c r="AN140" s="1790"/>
      <c r="AO140" s="1790"/>
      <c r="AP140" s="1790"/>
      <c r="AQ140" s="1790"/>
      <c r="AR140" s="1790"/>
      <c r="AS140" s="1790"/>
      <c r="AT140" s="1689"/>
      <c r="AU140" s="171"/>
      <c r="AX140" s="253"/>
      <c r="BZ140" s="89"/>
      <c r="CA140" s="89"/>
      <c r="CC140" s="4"/>
      <c r="CD140" s="108"/>
      <c r="CE140" s="108"/>
      <c r="CF140" s="108"/>
      <c r="CG140" s="21"/>
      <c r="CH140" s="148" t="s">
        <v>529</v>
      </c>
      <c r="CI140" s="148" t="s">
        <v>21</v>
      </c>
      <c r="CJ140" s="148">
        <v>255</v>
      </c>
      <c r="CK140" s="148" t="s">
        <v>20</v>
      </c>
      <c r="CL140" s="148" t="s">
        <v>20</v>
      </c>
      <c r="CM140" s="216"/>
      <c r="CN140" s="148" t="s">
        <v>617</v>
      </c>
      <c r="CO140" s="149" t="s">
        <v>49</v>
      </c>
      <c r="CP140" s="150"/>
      <c r="CQ140" s="2"/>
      <c r="CR140" s="45"/>
      <c r="CS140" s="45"/>
      <c r="CT140" s="45"/>
      <c r="CU140" s="45"/>
      <c r="CV140" s="10"/>
      <c r="CX140" s="32"/>
      <c r="CY140" s="31"/>
      <c r="CZ140" s="33"/>
      <c r="DA140" s="31"/>
      <c r="DC140" s="32"/>
      <c r="DD140" s="32"/>
      <c r="DE140" s="87"/>
      <c r="DF140" s="64"/>
      <c r="DH140" s="836" t="s">
        <v>2244</v>
      </c>
      <c r="DI140" s="836" t="s">
        <v>4862</v>
      </c>
      <c r="DJ140" s="836"/>
      <c r="DK140" s="836" t="str">
        <f t="shared" si="24"/>
        <v>93701Q15</v>
      </c>
      <c r="DL140" s="838" t="s">
        <v>3357</v>
      </c>
      <c r="DM140" s="838" t="s">
        <v>4863</v>
      </c>
      <c r="DN140" s="839" t="str">
        <f>IF(OR(BA63="",BA63="0000"),"",ASC(BA63))</f>
        <v>1903</v>
      </c>
      <c r="DO140" s="20"/>
      <c r="DV140" s="21"/>
      <c r="DX140" s="85"/>
      <c r="DY140" s="85"/>
    </row>
    <row r="141" spans="1:129" ht="19.5" hidden="1" customHeight="1">
      <c r="A141" s="354" t="s">
        <v>1234</v>
      </c>
      <c r="B141" s="181"/>
      <c r="C141" s="1868"/>
      <c r="D141" s="1869"/>
      <c r="E141" s="1869"/>
      <c r="F141" s="1869"/>
      <c r="G141" s="1869"/>
      <c r="H141" s="1869"/>
      <c r="I141" s="1870"/>
      <c r="J141" s="1655"/>
      <c r="K141" s="1656"/>
      <c r="L141" s="1656"/>
      <c r="M141" s="1656"/>
      <c r="N141" s="1656"/>
      <c r="O141" s="1656"/>
      <c r="P141" s="1656"/>
      <c r="Q141" s="1656"/>
      <c r="R141" s="1656"/>
      <c r="S141" s="1656"/>
      <c r="T141" s="1656"/>
      <c r="U141" s="2882"/>
      <c r="V141" s="1846">
        <v>0</v>
      </c>
      <c r="W141" s="1847"/>
      <c r="X141" s="1847"/>
      <c r="Y141" s="1847"/>
      <c r="Z141" s="833" t="str">
        <f t="shared" si="26"/>
        <v>/</v>
      </c>
      <c r="AA141" s="1845">
        <v>0</v>
      </c>
      <c r="AB141" s="1652"/>
      <c r="AC141" s="1652"/>
      <c r="AD141" s="829"/>
      <c r="AE141" s="1679">
        <f t="shared" si="25"/>
        <v>0</v>
      </c>
      <c r="AF141" s="1679"/>
      <c r="AG141" s="1679"/>
      <c r="AH141" s="1679"/>
      <c r="AI141" s="1679"/>
      <c r="AJ141" s="1680"/>
      <c r="AK141" s="1789"/>
      <c r="AL141" s="1790"/>
      <c r="AM141" s="1790"/>
      <c r="AN141" s="1790"/>
      <c r="AO141" s="1790"/>
      <c r="AP141" s="1790"/>
      <c r="AQ141" s="1790"/>
      <c r="AR141" s="1790"/>
      <c r="AS141" s="1790"/>
      <c r="AT141" s="1689"/>
      <c r="AU141" s="171"/>
      <c r="AX141" s="253"/>
      <c r="BZ141" s="4"/>
      <c r="CA141" s="89"/>
      <c r="CB141" s="152"/>
      <c r="CC141" s="4"/>
      <c r="CD141" s="108"/>
      <c r="CE141" s="108"/>
      <c r="CF141" s="108"/>
      <c r="CG141" s="21"/>
      <c r="CH141" s="148" t="s">
        <v>530</v>
      </c>
      <c r="CI141" s="148" t="s">
        <v>21</v>
      </c>
      <c r="CJ141" s="148">
        <v>100</v>
      </c>
      <c r="CK141" s="148" t="s">
        <v>20</v>
      </c>
      <c r="CL141" s="148" t="s">
        <v>20</v>
      </c>
      <c r="CM141" s="216"/>
      <c r="CN141" s="148" t="s">
        <v>617</v>
      </c>
      <c r="CO141" s="149" t="s">
        <v>48</v>
      </c>
      <c r="CP141" s="150"/>
      <c r="CQ141" s="2"/>
      <c r="CR141" s="45"/>
      <c r="CS141" s="45"/>
      <c r="CT141" s="45"/>
      <c r="CU141" s="45"/>
      <c r="CV141" s="10"/>
      <c r="CX141" s="32"/>
      <c r="CY141" s="31"/>
      <c r="CZ141" s="33"/>
      <c r="DA141" s="31"/>
      <c r="DC141" s="32"/>
      <c r="DD141" s="32"/>
      <c r="DE141" s="87"/>
      <c r="DF141" s="64"/>
      <c r="DH141" s="836" t="s">
        <v>4408</v>
      </c>
      <c r="DI141" s="836" t="s">
        <v>897</v>
      </c>
      <c r="DJ141" s="836" t="s">
        <v>736</v>
      </c>
      <c r="DK141" s="836" t="str">
        <f t="shared" si="24"/>
        <v>106072YC</v>
      </c>
      <c r="DL141" s="838" t="s">
        <v>4416</v>
      </c>
      <c r="DM141" s="78" t="s">
        <v>919</v>
      </c>
      <c r="DN141" s="839">
        <f>IF(AV20=TRUE,1,0)</f>
        <v>0</v>
      </c>
      <c r="DO141" s="20"/>
      <c r="DV141" s="21"/>
      <c r="DX141" s="85"/>
      <c r="DY141" s="85"/>
    </row>
    <row r="142" spans="1:129" ht="19.5" hidden="1" customHeight="1">
      <c r="A142" s="354" t="s">
        <v>1234</v>
      </c>
      <c r="B142" s="181"/>
      <c r="C142" s="1868"/>
      <c r="D142" s="1869"/>
      <c r="E142" s="1869"/>
      <c r="F142" s="1869"/>
      <c r="G142" s="1869"/>
      <c r="H142" s="1869"/>
      <c r="I142" s="1870"/>
      <c r="J142" s="1655"/>
      <c r="K142" s="1656"/>
      <c r="L142" s="1656"/>
      <c r="M142" s="1656"/>
      <c r="N142" s="1656"/>
      <c r="O142" s="1656"/>
      <c r="P142" s="1656"/>
      <c r="Q142" s="1656"/>
      <c r="R142" s="1656"/>
      <c r="S142" s="1656"/>
      <c r="T142" s="1656"/>
      <c r="U142" s="2882"/>
      <c r="V142" s="1846">
        <v>0</v>
      </c>
      <c r="W142" s="1847"/>
      <c r="X142" s="1847"/>
      <c r="Y142" s="1847"/>
      <c r="Z142" s="833" t="str">
        <f t="shared" si="26"/>
        <v>/</v>
      </c>
      <c r="AA142" s="1845">
        <v>0</v>
      </c>
      <c r="AB142" s="1652"/>
      <c r="AC142" s="1652"/>
      <c r="AD142" s="829"/>
      <c r="AE142" s="1679">
        <f t="shared" si="25"/>
        <v>0</v>
      </c>
      <c r="AF142" s="1679"/>
      <c r="AG142" s="1679"/>
      <c r="AH142" s="1679"/>
      <c r="AI142" s="1679"/>
      <c r="AJ142" s="1680"/>
      <c r="AK142" s="1789"/>
      <c r="AL142" s="1790"/>
      <c r="AM142" s="1790"/>
      <c r="AN142" s="1790"/>
      <c r="AO142" s="1790"/>
      <c r="AP142" s="1790"/>
      <c r="AQ142" s="1790"/>
      <c r="AR142" s="1790"/>
      <c r="AS142" s="1790"/>
      <c r="AT142" s="1689"/>
      <c r="AU142" s="171"/>
      <c r="AX142" s="253"/>
      <c r="BZ142" s="4"/>
      <c r="CA142" s="89"/>
      <c r="CB142" s="152"/>
      <c r="CC142" s="4"/>
      <c r="CD142" s="108"/>
      <c r="CE142" s="108"/>
      <c r="CF142" s="108"/>
      <c r="CG142" s="21"/>
      <c r="CH142" s="59" t="s">
        <v>638</v>
      </c>
      <c r="CI142" s="59"/>
      <c r="CJ142" s="59"/>
      <c r="CK142" s="59"/>
      <c r="CL142" s="59"/>
      <c r="CM142" s="59"/>
      <c r="CN142" s="59"/>
      <c r="CO142" s="10"/>
      <c r="CP142" s="82"/>
      <c r="CQ142" s="2"/>
      <c r="CR142" s="45"/>
      <c r="CS142" s="45"/>
      <c r="CT142" s="45"/>
      <c r="CU142" s="45"/>
      <c r="CV142" s="10"/>
      <c r="CY142" s="31"/>
      <c r="DC142" s="32"/>
      <c r="DD142" s="31"/>
      <c r="DE142" s="87"/>
      <c r="DF142" s="64"/>
      <c r="DH142" s="836" t="s">
        <v>4408</v>
      </c>
      <c r="DI142" s="836" t="s">
        <v>898</v>
      </c>
      <c r="DJ142" s="836" t="s">
        <v>736</v>
      </c>
      <c r="DK142" s="836" t="str">
        <f t="shared" si="24"/>
        <v>106072YD</v>
      </c>
      <c r="DL142" s="838" t="s">
        <v>4416</v>
      </c>
      <c r="DM142" s="78" t="s">
        <v>920</v>
      </c>
      <c r="DN142" s="839">
        <f t="shared" ref="DN142:DN144" si="27">IF(AV21=TRUE,1,0)</f>
        <v>0</v>
      </c>
      <c r="DV142" s="21"/>
      <c r="DX142" s="85"/>
      <c r="DY142" s="85"/>
    </row>
    <row r="143" spans="1:129" ht="19.5" hidden="1" customHeight="1">
      <c r="A143" s="354" t="s">
        <v>1234</v>
      </c>
      <c r="B143" s="181"/>
      <c r="C143" s="1868"/>
      <c r="D143" s="1869"/>
      <c r="E143" s="1869"/>
      <c r="F143" s="1869"/>
      <c r="G143" s="1869"/>
      <c r="H143" s="1869"/>
      <c r="I143" s="1870"/>
      <c r="J143" s="1655"/>
      <c r="K143" s="1656"/>
      <c r="L143" s="1656"/>
      <c r="M143" s="1656"/>
      <c r="N143" s="1656"/>
      <c r="O143" s="1656"/>
      <c r="P143" s="1656"/>
      <c r="Q143" s="1656"/>
      <c r="R143" s="1656"/>
      <c r="S143" s="1656"/>
      <c r="T143" s="1656"/>
      <c r="U143" s="2882"/>
      <c r="V143" s="1846">
        <v>0</v>
      </c>
      <c r="W143" s="1847"/>
      <c r="X143" s="1847"/>
      <c r="Y143" s="1847"/>
      <c r="Z143" s="833" t="str">
        <f t="shared" si="26"/>
        <v>/</v>
      </c>
      <c r="AA143" s="1845">
        <v>0</v>
      </c>
      <c r="AB143" s="1652"/>
      <c r="AC143" s="1652"/>
      <c r="AD143" s="829"/>
      <c r="AE143" s="1679">
        <f t="shared" si="25"/>
        <v>0</v>
      </c>
      <c r="AF143" s="1679"/>
      <c r="AG143" s="1679"/>
      <c r="AH143" s="1679"/>
      <c r="AI143" s="1679"/>
      <c r="AJ143" s="1680"/>
      <c r="AK143" s="1789"/>
      <c r="AL143" s="1790"/>
      <c r="AM143" s="1790"/>
      <c r="AN143" s="1790"/>
      <c r="AO143" s="1790"/>
      <c r="AP143" s="1790"/>
      <c r="AQ143" s="1790"/>
      <c r="AR143" s="1790"/>
      <c r="AS143" s="1790"/>
      <c r="AT143" s="1689"/>
      <c r="AU143" s="171"/>
      <c r="AX143" s="253"/>
      <c r="BZ143" s="4"/>
      <c r="CA143" s="89"/>
      <c r="CB143" s="152"/>
      <c r="CC143" s="4"/>
      <c r="CD143" s="108"/>
      <c r="CE143" s="108"/>
      <c r="CF143" s="108"/>
      <c r="CG143" s="21"/>
      <c r="CH143" s="46" t="s">
        <v>323</v>
      </c>
      <c r="CI143" s="47" t="s">
        <v>586</v>
      </c>
      <c r="CJ143" s="47" t="s">
        <v>321</v>
      </c>
      <c r="CK143" s="46" t="s">
        <v>320</v>
      </c>
      <c r="CL143" s="46" t="s">
        <v>587</v>
      </c>
      <c r="CM143" s="46" t="s">
        <v>326</v>
      </c>
      <c r="CN143" s="46" t="s">
        <v>327</v>
      </c>
      <c r="CO143" s="46" t="s">
        <v>376</v>
      </c>
      <c r="CP143" s="46" t="s">
        <v>328</v>
      </c>
      <c r="CQ143" s="2"/>
      <c r="CR143" s="45"/>
      <c r="CS143" s="45"/>
      <c r="CT143" s="45"/>
      <c r="CU143" s="45"/>
      <c r="CV143" s="10"/>
      <c r="CW143" s="32"/>
      <c r="CY143" s="31"/>
      <c r="DC143" s="32"/>
      <c r="DD143" s="31"/>
      <c r="DE143" s="64"/>
      <c r="DF143" s="64"/>
      <c r="DH143" s="836" t="s">
        <v>4408</v>
      </c>
      <c r="DI143" s="836" t="s">
        <v>899</v>
      </c>
      <c r="DJ143" s="836" t="s">
        <v>736</v>
      </c>
      <c r="DK143" s="836" t="str">
        <f t="shared" si="24"/>
        <v>106072YE</v>
      </c>
      <c r="DL143" s="838" t="s">
        <v>4416</v>
      </c>
      <c r="DM143" s="76" t="s">
        <v>921</v>
      </c>
      <c r="DN143" s="839">
        <f t="shared" si="27"/>
        <v>0</v>
      </c>
      <c r="DV143" s="21"/>
      <c r="DX143" s="85"/>
      <c r="DY143" s="85"/>
    </row>
    <row r="144" spans="1:129" ht="19.5" hidden="1" customHeight="1">
      <c r="A144" s="354" t="s">
        <v>1234</v>
      </c>
      <c r="B144" s="181"/>
      <c r="C144" s="1868"/>
      <c r="D144" s="1869"/>
      <c r="E144" s="1869"/>
      <c r="F144" s="1869"/>
      <c r="G144" s="1869"/>
      <c r="H144" s="1869"/>
      <c r="I144" s="1870"/>
      <c r="J144" s="1655"/>
      <c r="K144" s="1656"/>
      <c r="L144" s="1656"/>
      <c r="M144" s="1656"/>
      <c r="N144" s="1656"/>
      <c r="O144" s="1656"/>
      <c r="P144" s="1656"/>
      <c r="Q144" s="1656"/>
      <c r="R144" s="1656"/>
      <c r="S144" s="1656"/>
      <c r="T144" s="1656"/>
      <c r="U144" s="2882"/>
      <c r="V144" s="1846">
        <v>0</v>
      </c>
      <c r="W144" s="1847"/>
      <c r="X144" s="1847"/>
      <c r="Y144" s="1847"/>
      <c r="Z144" s="833" t="str">
        <f t="shared" si="26"/>
        <v>/</v>
      </c>
      <c r="AA144" s="1845">
        <v>0</v>
      </c>
      <c r="AB144" s="1652"/>
      <c r="AC144" s="1652"/>
      <c r="AD144" s="829"/>
      <c r="AE144" s="1679">
        <f t="shared" si="25"/>
        <v>0</v>
      </c>
      <c r="AF144" s="1679"/>
      <c r="AG144" s="1679"/>
      <c r="AH144" s="1679"/>
      <c r="AI144" s="1679"/>
      <c r="AJ144" s="1680"/>
      <c r="AK144" s="1789"/>
      <c r="AL144" s="1790"/>
      <c r="AM144" s="1790"/>
      <c r="AN144" s="1790"/>
      <c r="AO144" s="1790"/>
      <c r="AP144" s="1790"/>
      <c r="AQ144" s="1790"/>
      <c r="AR144" s="1790"/>
      <c r="AS144" s="1790"/>
      <c r="AT144" s="1689"/>
      <c r="AU144" s="171"/>
      <c r="AX144" s="253"/>
      <c r="BZ144" s="4"/>
      <c r="CA144" s="89"/>
      <c r="CB144" s="152"/>
      <c r="CC144" s="4"/>
      <c r="CD144" s="108"/>
      <c r="CE144" s="108"/>
      <c r="CF144" s="108"/>
      <c r="CG144" s="21"/>
      <c r="CH144" s="49" t="s">
        <v>313</v>
      </c>
      <c r="CI144" s="49"/>
      <c r="CJ144" s="49"/>
      <c r="CK144" s="49"/>
      <c r="CL144" s="49"/>
      <c r="CM144" s="49"/>
      <c r="CN144" s="49"/>
      <c r="CO144" s="83" t="s">
        <v>531</v>
      </c>
      <c r="CP144" s="84"/>
      <c r="CQ144" s="2"/>
      <c r="CR144" s="45"/>
      <c r="CS144" s="45"/>
      <c r="CT144" s="45"/>
      <c r="CU144" s="45"/>
      <c r="CV144" s="10"/>
      <c r="CW144" s="32"/>
      <c r="CY144" s="32"/>
      <c r="DB144" s="31"/>
      <c r="DC144" s="33"/>
      <c r="DD144" s="31"/>
      <c r="DE144" s="64"/>
      <c r="DF144" s="64"/>
      <c r="DH144" s="836" t="s">
        <v>4408</v>
      </c>
      <c r="DI144" s="836" t="s">
        <v>174</v>
      </c>
      <c r="DJ144" s="836" t="s">
        <v>736</v>
      </c>
      <c r="DK144" s="836" t="str">
        <f t="shared" si="24"/>
        <v>106072YF</v>
      </c>
      <c r="DL144" s="838" t="s">
        <v>4416</v>
      </c>
      <c r="DM144" s="76" t="s">
        <v>922</v>
      </c>
      <c r="DN144" s="839">
        <f t="shared" si="27"/>
        <v>0</v>
      </c>
      <c r="DV144" s="21"/>
      <c r="DX144" s="85"/>
      <c r="DY144" s="85"/>
    </row>
    <row r="145" spans="1:129" ht="19.5" customHeight="1">
      <c r="A145" s="354"/>
      <c r="B145" s="181"/>
      <c r="C145" s="1868"/>
      <c r="D145" s="1869"/>
      <c r="E145" s="1869"/>
      <c r="F145" s="1869"/>
      <c r="G145" s="1869"/>
      <c r="H145" s="1869"/>
      <c r="I145" s="1870"/>
      <c r="J145" s="1844" t="s">
        <v>5038</v>
      </c>
      <c r="K145" s="2944"/>
      <c r="L145" s="2944"/>
      <c r="M145" s="2944"/>
      <c r="N145" s="2944"/>
      <c r="O145" s="2944"/>
      <c r="P145" s="2944"/>
      <c r="Q145" s="2944"/>
      <c r="R145" s="2944"/>
      <c r="S145" s="2944"/>
      <c r="T145" s="2944"/>
      <c r="U145" s="2944"/>
      <c r="V145" s="1846"/>
      <c r="W145" s="1847"/>
      <c r="X145" s="1847"/>
      <c r="Y145" s="1847"/>
      <c r="Z145" s="942"/>
      <c r="AA145" s="2883">
        <f>IF(OR(AE145="",AE145=0),0,1)</f>
        <v>1</v>
      </c>
      <c r="AB145" s="2883"/>
      <c r="AC145" s="2883"/>
      <c r="AD145" s="943"/>
      <c r="AE145" s="2948">
        <v>-7180</v>
      </c>
      <c r="AF145" s="2948"/>
      <c r="AG145" s="2948"/>
      <c r="AH145" s="2948"/>
      <c r="AI145" s="2948"/>
      <c r="AJ145" s="2949"/>
      <c r="AK145" s="2945"/>
      <c r="AL145" s="2946"/>
      <c r="AM145" s="2946"/>
      <c r="AN145" s="2946"/>
      <c r="AO145" s="2946"/>
      <c r="AP145" s="2946"/>
      <c r="AQ145" s="2946"/>
      <c r="AR145" s="2946"/>
      <c r="AS145" s="2946"/>
      <c r="AT145" s="2947"/>
      <c r="AU145" s="171"/>
      <c r="AV145" s="922" t="s">
        <v>1956</v>
      </c>
      <c r="AW145" s="20" t="s">
        <v>4872</v>
      </c>
      <c r="BZ145" s="4"/>
      <c r="CA145" s="89"/>
      <c r="CB145" s="152"/>
      <c r="CC145" s="4"/>
      <c r="CD145" s="108"/>
      <c r="CE145" s="108"/>
      <c r="CF145" s="108"/>
      <c r="CG145" s="21"/>
      <c r="CH145" s="49" t="s">
        <v>296</v>
      </c>
      <c r="CI145" s="49"/>
      <c r="CJ145" s="49"/>
      <c r="CK145" s="49"/>
      <c r="CL145" s="49"/>
      <c r="CM145" s="49"/>
      <c r="CN145" s="49"/>
      <c r="CO145" s="83" t="s">
        <v>532</v>
      </c>
      <c r="CP145" s="84"/>
      <c r="CQ145" s="2"/>
      <c r="CR145" s="45"/>
      <c r="CS145" s="45"/>
      <c r="CT145" s="45"/>
      <c r="CU145" s="45"/>
      <c r="CV145" s="10"/>
      <c r="CW145" s="32"/>
      <c r="CX145" s="32"/>
      <c r="CY145" s="32"/>
      <c r="CZ145" s="33"/>
      <c r="DA145" s="31"/>
      <c r="DB145" s="31"/>
      <c r="DC145" s="33"/>
      <c r="DD145" s="32"/>
      <c r="DE145" s="64"/>
      <c r="DF145" s="64"/>
      <c r="DH145" s="836" t="s">
        <v>5068</v>
      </c>
      <c r="DI145" s="836" t="s">
        <v>5077</v>
      </c>
      <c r="DJ145" s="836"/>
      <c r="DK145" s="836" t="str">
        <f t="shared" si="24"/>
        <v>10624UR8</v>
      </c>
      <c r="DL145" s="838" t="s">
        <v>3644</v>
      </c>
      <c r="DM145" s="838" t="s">
        <v>5070</v>
      </c>
      <c r="DN145" s="839" t="str">
        <f>IF(Y164="","00",ASC(Y164))</f>
        <v>00</v>
      </c>
      <c r="DV145" s="21"/>
      <c r="DX145" s="85"/>
      <c r="DY145" s="85"/>
    </row>
    <row r="146" spans="1:129" ht="19.5" hidden="1" customHeight="1">
      <c r="A146" s="354" t="s">
        <v>1234</v>
      </c>
      <c r="B146" s="181"/>
      <c r="C146" s="1868"/>
      <c r="D146" s="1869"/>
      <c r="E146" s="1869"/>
      <c r="F146" s="1869"/>
      <c r="G146" s="1869"/>
      <c r="H146" s="1869"/>
      <c r="I146" s="1870"/>
      <c r="J146" s="2878"/>
      <c r="K146" s="2879"/>
      <c r="L146" s="2879"/>
      <c r="M146" s="2879"/>
      <c r="N146" s="2879"/>
      <c r="O146" s="2879"/>
      <c r="P146" s="2879"/>
      <c r="Q146" s="2879"/>
      <c r="R146" s="2879"/>
      <c r="S146" s="2879"/>
      <c r="T146" s="2879"/>
      <c r="U146" s="2880"/>
      <c r="V146" s="2918"/>
      <c r="W146" s="2259"/>
      <c r="X146" s="2259"/>
      <c r="Y146" s="2259"/>
      <c r="Z146" s="827"/>
      <c r="AA146" s="1845"/>
      <c r="AB146" s="1652"/>
      <c r="AC146" s="1652"/>
      <c r="AD146" s="830"/>
      <c r="AE146" s="1653"/>
      <c r="AF146" s="1653"/>
      <c r="AG146" s="1653"/>
      <c r="AH146" s="1653"/>
      <c r="AI146" s="1653"/>
      <c r="AJ146" s="1654"/>
      <c r="AK146" s="1687"/>
      <c r="AL146" s="1688"/>
      <c r="AM146" s="1688"/>
      <c r="AN146" s="1688"/>
      <c r="AO146" s="1688"/>
      <c r="AP146" s="1688"/>
      <c r="AQ146" s="1688"/>
      <c r="AR146" s="1688"/>
      <c r="AS146" s="1688"/>
      <c r="AT146" s="1689"/>
      <c r="AU146" s="171"/>
      <c r="AV146" s="922" t="s">
        <v>1956</v>
      </c>
      <c r="AW146" s="20" t="s">
        <v>4873</v>
      </c>
      <c r="BZ146" s="4"/>
      <c r="CA146" s="89"/>
      <c r="CB146" s="152"/>
      <c r="CC146" s="4"/>
      <c r="CD146" s="108"/>
      <c r="CE146" s="108"/>
      <c r="CF146" s="108"/>
      <c r="CG146" s="21"/>
      <c r="CH146" s="49" t="s">
        <v>144</v>
      </c>
      <c r="CI146" s="49"/>
      <c r="CJ146" s="49"/>
      <c r="CK146" s="49"/>
      <c r="CL146" s="49"/>
      <c r="CM146" s="49"/>
      <c r="CN146" s="49"/>
      <c r="CO146" s="83" t="s">
        <v>533</v>
      </c>
      <c r="CP146" s="84"/>
      <c r="CQ146" s="2"/>
      <c r="CR146" s="45"/>
      <c r="CS146" s="45"/>
      <c r="CT146" s="45"/>
      <c r="CU146" s="45"/>
      <c r="CV146" s="10"/>
      <c r="CW146" s="32"/>
      <c r="CX146" s="32"/>
      <c r="CY146" s="32"/>
      <c r="CZ146" s="33"/>
      <c r="DA146" s="31"/>
      <c r="DB146" s="31"/>
      <c r="DC146" s="33"/>
      <c r="DD146" s="32"/>
      <c r="DE146" s="64"/>
      <c r="DF146" s="64"/>
      <c r="DH146" s="836" t="s">
        <v>5068</v>
      </c>
      <c r="DI146" s="836" t="s">
        <v>5078</v>
      </c>
      <c r="DJ146" s="836"/>
      <c r="DK146" s="836" t="str">
        <f t="shared" si="24"/>
        <v>10624UR9</v>
      </c>
      <c r="DL146" s="838" t="s">
        <v>3644</v>
      </c>
      <c r="DM146" s="838" t="s">
        <v>5072</v>
      </c>
      <c r="DN146" s="839" t="str">
        <f t="shared" ref="DN146" si="28">IF(Y165="","00",ASC(Y165))</f>
        <v>00</v>
      </c>
      <c r="DV146" s="21"/>
      <c r="DX146" s="85"/>
      <c r="DY146" s="85"/>
    </row>
    <row r="147" spans="1:129" ht="19.5" customHeight="1" thickBot="1">
      <c r="A147" s="354"/>
      <c r="B147" s="181"/>
      <c r="C147" s="1868"/>
      <c r="D147" s="1869"/>
      <c r="E147" s="1869"/>
      <c r="F147" s="1869"/>
      <c r="G147" s="1869"/>
      <c r="H147" s="1869"/>
      <c r="I147" s="1870"/>
      <c r="J147" s="1690" t="s">
        <v>984</v>
      </c>
      <c r="K147" s="1691"/>
      <c r="L147" s="1691"/>
      <c r="M147" s="1691"/>
      <c r="N147" s="1691"/>
      <c r="O147" s="1691"/>
      <c r="P147" s="1691"/>
      <c r="Q147" s="1691"/>
      <c r="R147" s="1691"/>
      <c r="S147" s="1691"/>
      <c r="T147" s="1691"/>
      <c r="U147" s="1692"/>
      <c r="V147" s="1693"/>
      <c r="W147" s="1694"/>
      <c r="X147" s="1694"/>
      <c r="Y147" s="1694"/>
      <c r="Z147" s="2955"/>
      <c r="AA147" s="826"/>
      <c r="AB147" s="396"/>
      <c r="AC147" s="396"/>
      <c r="AD147" s="241"/>
      <c r="AE147" s="1695">
        <f>SUM(AE126:AJ146)</f>
        <v>78800</v>
      </c>
      <c r="AF147" s="1695"/>
      <c r="AG147" s="1695"/>
      <c r="AH147" s="1695"/>
      <c r="AI147" s="1695"/>
      <c r="AJ147" s="1696"/>
      <c r="AK147" s="1687"/>
      <c r="AL147" s="1688"/>
      <c r="AM147" s="1688"/>
      <c r="AN147" s="1688"/>
      <c r="AO147" s="1688"/>
      <c r="AP147" s="1688"/>
      <c r="AQ147" s="1688"/>
      <c r="AR147" s="1688"/>
      <c r="AS147" s="1688"/>
      <c r="AT147" s="1689"/>
      <c r="AU147" s="171"/>
      <c r="BZ147" s="4"/>
      <c r="CA147" s="89"/>
      <c r="CB147" s="152"/>
      <c r="CC147" s="4"/>
      <c r="CD147" s="108"/>
      <c r="CE147" s="108"/>
      <c r="CF147" s="108"/>
      <c r="CG147" s="21"/>
      <c r="CH147" s="49" t="s">
        <v>142</v>
      </c>
      <c r="CI147" s="49"/>
      <c r="CJ147" s="49"/>
      <c r="CK147" s="49"/>
      <c r="CL147" s="49"/>
      <c r="CM147" s="49"/>
      <c r="CN147" s="49"/>
      <c r="CO147" s="83" t="s">
        <v>534</v>
      </c>
      <c r="CP147" s="51" t="str">
        <f>T(K152)</f>
        <v/>
      </c>
      <c r="CQ147" s="2"/>
      <c r="CR147" s="45"/>
      <c r="CS147" s="45"/>
      <c r="CT147" s="45"/>
      <c r="CU147" s="45"/>
      <c r="CV147" s="10"/>
      <c r="CW147" s="32"/>
      <c r="CX147" s="32"/>
      <c r="CY147" s="31"/>
      <c r="CZ147" s="33"/>
      <c r="DA147" s="31"/>
      <c r="DC147" s="32"/>
      <c r="DD147" s="32"/>
      <c r="DE147" s="64"/>
      <c r="DF147" s="64"/>
      <c r="DH147" s="836" t="s">
        <v>5068</v>
      </c>
      <c r="DI147" s="836" t="s">
        <v>5079</v>
      </c>
      <c r="DJ147" s="836"/>
      <c r="DK147" s="836" t="str">
        <f t="shared" si="24"/>
        <v>10624URA</v>
      </c>
      <c r="DL147" s="838" t="s">
        <v>3644</v>
      </c>
      <c r="DM147" s="838" t="s">
        <v>5074</v>
      </c>
      <c r="DN147" s="839" t="str">
        <f>IF(Y166="","0000000",ASC(Y166))</f>
        <v>0000000</v>
      </c>
      <c r="DV147" s="21"/>
      <c r="DX147" s="85"/>
      <c r="DY147" s="85"/>
    </row>
    <row r="148" spans="1:129" ht="19.5" customHeight="1" thickTop="1" thickBot="1">
      <c r="A148" s="111"/>
      <c r="B148" s="181"/>
      <c r="C148" s="891"/>
      <c r="D148" s="892"/>
      <c r="E148" s="892"/>
      <c r="F148" s="892"/>
      <c r="G148" s="892"/>
      <c r="H148" s="892"/>
      <c r="I148" s="893"/>
      <c r="J148" s="892"/>
      <c r="K148" s="892"/>
      <c r="L148" s="894"/>
      <c r="M148" s="894"/>
      <c r="N148" s="894"/>
      <c r="O148" s="895"/>
      <c r="P148" s="895"/>
      <c r="Q148" s="896"/>
      <c r="R148" s="896"/>
      <c r="S148" s="896"/>
      <c r="T148" s="896"/>
      <c r="U148" s="896"/>
      <c r="V148" s="2956" t="str">
        <f>IF(AV126="NG","申込まない項目についてもゼロをご入力ください","")</f>
        <v/>
      </c>
      <c r="W148" s="2956"/>
      <c r="X148" s="2956"/>
      <c r="Y148" s="2956"/>
      <c r="Z148" s="2956"/>
      <c r="AA148" s="2956"/>
      <c r="AB148" s="2956"/>
      <c r="AC148" s="2956"/>
      <c r="AD148" s="2956"/>
      <c r="AE148" s="2956"/>
      <c r="AF148" s="2956"/>
      <c r="AG148" s="2956"/>
      <c r="AH148" s="2956"/>
      <c r="AI148" s="2956"/>
      <c r="AJ148" s="2957"/>
      <c r="AK148" s="1700" t="s">
        <v>1055</v>
      </c>
      <c r="AL148" s="1701"/>
      <c r="AM148" s="1701"/>
      <c r="AN148" s="1701"/>
      <c r="AO148" s="1701"/>
      <c r="AP148" s="1702">
        <v>11013</v>
      </c>
      <c r="AQ148" s="1702"/>
      <c r="AR148" s="1702"/>
      <c r="AS148" s="831"/>
      <c r="AT148" s="832"/>
      <c r="AU148" s="171"/>
      <c r="BZ148" s="4"/>
      <c r="CA148" s="89"/>
      <c r="CB148" s="152"/>
      <c r="CC148" s="4"/>
      <c r="CD148" s="108"/>
      <c r="CE148" s="108"/>
      <c r="CF148" s="108"/>
      <c r="CG148" s="21"/>
      <c r="CH148" s="49" t="s">
        <v>140</v>
      </c>
      <c r="CI148" s="49"/>
      <c r="CJ148" s="49"/>
      <c r="CK148" s="49"/>
      <c r="CL148" s="49"/>
      <c r="CM148" s="49"/>
      <c r="CN148" s="49"/>
      <c r="CO148" s="83" t="s">
        <v>535</v>
      </c>
      <c r="CP148" s="84"/>
      <c r="CQ148" s="2"/>
      <c r="CR148" s="45"/>
      <c r="CS148" s="45"/>
      <c r="CT148" s="45"/>
      <c r="CU148" s="45"/>
      <c r="CV148" s="10"/>
      <c r="CW148" s="32"/>
      <c r="CX148" s="32"/>
      <c r="CY148" s="31"/>
      <c r="CZ148" s="33"/>
      <c r="DA148" s="31"/>
      <c r="DC148" s="32"/>
      <c r="DD148" s="32"/>
      <c r="DE148" s="64"/>
      <c r="DF148" s="64"/>
      <c r="DH148" s="836" t="s">
        <v>5068</v>
      </c>
      <c r="DI148" s="836" t="s">
        <v>5080</v>
      </c>
      <c r="DJ148" s="836"/>
      <c r="DK148" s="836" t="str">
        <f t="shared" si="24"/>
        <v>10624URB</v>
      </c>
      <c r="DL148" s="838" t="s">
        <v>3644</v>
      </c>
      <c r="DM148" s="838" t="s">
        <v>5076</v>
      </c>
      <c r="DN148" s="839" t="str">
        <f>IF(Y167="","0000000",ASC(Y167))</f>
        <v>0000000</v>
      </c>
      <c r="DV148" s="21"/>
      <c r="DW148" s="2"/>
      <c r="DX148" s="85"/>
      <c r="DY148" s="85"/>
    </row>
    <row r="149" spans="1:129" ht="19.5" customHeight="1">
      <c r="A149" s="111"/>
      <c r="B149" s="181"/>
      <c r="C149" s="1712" t="s">
        <v>858</v>
      </c>
      <c r="D149" s="1713"/>
      <c r="E149" s="1713"/>
      <c r="F149" s="1713"/>
      <c r="G149" s="1713"/>
      <c r="H149" s="1713"/>
      <c r="I149" s="1713"/>
      <c r="J149" s="1714"/>
      <c r="K149" s="1719"/>
      <c r="L149" s="1719"/>
      <c r="M149" s="1703" t="s">
        <v>1001</v>
      </c>
      <c r="N149" s="1704"/>
      <c r="O149" s="1704"/>
      <c r="P149" s="1704"/>
      <c r="Q149" s="1704"/>
      <c r="R149" s="1704"/>
      <c r="S149" s="1704"/>
      <c r="T149" s="1704"/>
      <c r="U149" s="1704"/>
      <c r="V149" s="1724"/>
      <c r="W149" s="1704"/>
      <c r="X149" s="1704"/>
      <c r="Y149" s="1729" t="s">
        <v>861</v>
      </c>
      <c r="Z149" s="1730"/>
      <c r="AA149" s="1730"/>
      <c r="AB149" s="1730"/>
      <c r="AC149" s="1730"/>
      <c r="AD149" s="1730"/>
      <c r="AE149" s="1730"/>
      <c r="AF149" s="1730"/>
      <c r="AG149" s="1730"/>
      <c r="AH149" s="1731"/>
      <c r="AI149" s="1704"/>
      <c r="AJ149" s="1704"/>
      <c r="AK149" s="1703" t="s">
        <v>3585</v>
      </c>
      <c r="AL149" s="1704"/>
      <c r="AM149" s="1704"/>
      <c r="AN149" s="1704"/>
      <c r="AO149" s="1704"/>
      <c r="AP149" s="1704"/>
      <c r="AQ149" s="1704"/>
      <c r="AR149" s="1704"/>
      <c r="AS149" s="1704"/>
      <c r="AT149" s="1705"/>
      <c r="AU149" s="171"/>
      <c r="BZ149" s="11"/>
      <c r="CA149" s="89"/>
      <c r="CB149" s="152"/>
      <c r="CC149" s="4"/>
      <c r="CD149" s="108"/>
      <c r="CE149" s="108"/>
      <c r="CF149" s="108"/>
      <c r="CG149" s="21"/>
      <c r="CH149" s="49" t="s">
        <v>138</v>
      </c>
      <c r="CI149" s="49"/>
      <c r="CJ149" s="49"/>
      <c r="CK149" s="49"/>
      <c r="CL149" s="49"/>
      <c r="CM149" s="49"/>
      <c r="CN149" s="49"/>
      <c r="CO149" s="83" t="s">
        <v>536</v>
      </c>
      <c r="CP149" s="84"/>
      <c r="CQ149" s="2"/>
      <c r="CR149" s="45"/>
      <c r="CS149" s="45"/>
      <c r="CT149" s="45"/>
      <c r="CU149" s="45"/>
      <c r="CV149" s="10"/>
      <c r="CW149" s="32"/>
      <c r="CX149" s="32"/>
      <c r="CY149" s="31"/>
      <c r="CZ149" s="33"/>
      <c r="DA149" s="31"/>
      <c r="DC149" s="32"/>
      <c r="DD149" s="32"/>
      <c r="DE149" s="64"/>
      <c r="DF149" s="64"/>
      <c r="DH149" s="836" t="s">
        <v>4408</v>
      </c>
      <c r="DI149" s="836" t="s">
        <v>5077</v>
      </c>
      <c r="DJ149" s="836"/>
      <c r="DK149" s="836" t="str">
        <f t="shared" si="24"/>
        <v>10607UR8</v>
      </c>
      <c r="DL149" s="838" t="s">
        <v>971</v>
      </c>
      <c r="DM149" s="838" t="s">
        <v>5069</v>
      </c>
      <c r="DN149" s="839" t="str">
        <f>IF(AC164="","00",ASC(AC164))</f>
        <v>00</v>
      </c>
      <c r="DV149" s="21"/>
      <c r="DW149" s="2"/>
      <c r="DX149" s="85"/>
      <c r="DY149" s="85"/>
    </row>
    <row r="150" spans="1:129" ht="19.5" customHeight="1">
      <c r="A150" s="111"/>
      <c r="B150" s="181"/>
      <c r="C150" s="1712"/>
      <c r="D150" s="1713"/>
      <c r="E150" s="1713"/>
      <c r="F150" s="1713"/>
      <c r="G150" s="1713"/>
      <c r="H150" s="1713"/>
      <c r="I150" s="1713"/>
      <c r="J150" s="1714"/>
      <c r="K150" s="1719"/>
      <c r="L150" s="1719"/>
      <c r="M150" s="1703"/>
      <c r="N150" s="1704"/>
      <c r="O150" s="1704"/>
      <c r="P150" s="1704"/>
      <c r="Q150" s="1704"/>
      <c r="R150" s="1704"/>
      <c r="S150" s="1704"/>
      <c r="T150" s="1704"/>
      <c r="U150" s="1704"/>
      <c r="V150" s="1724"/>
      <c r="W150" s="1704"/>
      <c r="X150" s="1704"/>
      <c r="Y150" s="1729"/>
      <c r="Z150" s="1730"/>
      <c r="AA150" s="1730"/>
      <c r="AB150" s="1730"/>
      <c r="AC150" s="1730"/>
      <c r="AD150" s="1730"/>
      <c r="AE150" s="1730"/>
      <c r="AF150" s="1730"/>
      <c r="AG150" s="1730"/>
      <c r="AH150" s="1731"/>
      <c r="AI150" s="1704"/>
      <c r="AJ150" s="1704"/>
      <c r="AK150" s="1703"/>
      <c r="AL150" s="1704"/>
      <c r="AM150" s="1704"/>
      <c r="AN150" s="1704"/>
      <c r="AO150" s="1704"/>
      <c r="AP150" s="1704"/>
      <c r="AQ150" s="1704"/>
      <c r="AR150" s="1704"/>
      <c r="AS150" s="1704"/>
      <c r="AT150" s="1705"/>
      <c r="AU150" s="171"/>
      <c r="AV150" s="151">
        <v>0</v>
      </c>
      <c r="BZ150" s="11"/>
      <c r="CA150" s="89"/>
      <c r="CB150" s="152"/>
      <c r="CC150" s="4"/>
      <c r="CD150" s="108"/>
      <c r="CE150" s="108"/>
      <c r="CF150" s="108"/>
      <c r="CG150" s="21"/>
      <c r="CH150" s="49" t="s">
        <v>135</v>
      </c>
      <c r="CI150" s="49"/>
      <c r="CJ150" s="49"/>
      <c r="CK150" s="49"/>
      <c r="CL150" s="49"/>
      <c r="CM150" s="49"/>
      <c r="CN150" s="49"/>
      <c r="CO150" s="83" t="s">
        <v>537</v>
      </c>
      <c r="CP150" s="51" t="str">
        <f>ASC(AK152)</f>
        <v/>
      </c>
      <c r="CQ150" s="2"/>
      <c r="CR150" s="45"/>
      <c r="CS150" s="45"/>
      <c r="CT150" s="45"/>
      <c r="CU150" s="45"/>
      <c r="CV150" s="10"/>
      <c r="CW150" s="32"/>
      <c r="CX150" s="32"/>
      <c r="CY150" s="31"/>
      <c r="CZ150" s="33"/>
      <c r="DA150" s="31"/>
      <c r="DC150" s="32"/>
      <c r="DD150" s="32"/>
      <c r="DE150" s="64"/>
      <c r="DF150" s="64"/>
      <c r="DH150" s="836" t="s">
        <v>4408</v>
      </c>
      <c r="DI150" s="836" t="s">
        <v>5078</v>
      </c>
      <c r="DJ150" s="836"/>
      <c r="DK150" s="836" t="str">
        <f t="shared" si="24"/>
        <v>10607UR9</v>
      </c>
      <c r="DL150" s="838" t="s">
        <v>971</v>
      </c>
      <c r="DM150" s="838" t="s">
        <v>5071</v>
      </c>
      <c r="DN150" s="839" t="str">
        <f t="shared" ref="DN150" si="29">IF(AC165="","00",ASC(AC165))</f>
        <v>00</v>
      </c>
      <c r="DV150" s="21"/>
      <c r="DW150" s="2"/>
      <c r="DX150" s="85"/>
      <c r="DY150" s="85"/>
    </row>
    <row r="151" spans="1:129" ht="19.5" customHeight="1">
      <c r="A151" s="111"/>
      <c r="B151" s="181"/>
      <c r="C151" s="1715"/>
      <c r="D151" s="1716"/>
      <c r="E151" s="1716"/>
      <c r="F151" s="1716"/>
      <c r="G151" s="1716"/>
      <c r="H151" s="1716"/>
      <c r="I151" s="1716"/>
      <c r="J151" s="1717"/>
      <c r="K151" s="1720"/>
      <c r="L151" s="1720"/>
      <c r="M151" s="1706"/>
      <c r="N151" s="1707"/>
      <c r="O151" s="1707"/>
      <c r="P151" s="1707"/>
      <c r="Q151" s="1707"/>
      <c r="R151" s="1707"/>
      <c r="S151" s="1707"/>
      <c r="T151" s="1707"/>
      <c r="U151" s="1707"/>
      <c r="V151" s="1725"/>
      <c r="W151" s="1707"/>
      <c r="X151" s="1707"/>
      <c r="Y151" s="1732"/>
      <c r="Z151" s="1733"/>
      <c r="AA151" s="1733"/>
      <c r="AB151" s="1733"/>
      <c r="AC151" s="1733"/>
      <c r="AD151" s="1733"/>
      <c r="AE151" s="1733"/>
      <c r="AF151" s="1733"/>
      <c r="AG151" s="1733"/>
      <c r="AH151" s="1734"/>
      <c r="AI151" s="1707"/>
      <c r="AJ151" s="1707"/>
      <c r="AK151" s="1706"/>
      <c r="AL151" s="1707"/>
      <c r="AM151" s="1707"/>
      <c r="AN151" s="1707"/>
      <c r="AO151" s="1707"/>
      <c r="AP151" s="1707"/>
      <c r="AQ151" s="1707"/>
      <c r="AR151" s="1707"/>
      <c r="AS151" s="1707"/>
      <c r="AT151" s="1708"/>
      <c r="AU151" s="171"/>
      <c r="BZ151" s="11"/>
      <c r="CA151" s="89"/>
      <c r="CB151" s="152"/>
      <c r="CC151" s="4"/>
      <c r="CD151" s="108"/>
      <c r="CE151" s="108"/>
      <c r="CF151" s="108"/>
      <c r="CG151" s="21"/>
      <c r="CH151" s="49" t="s">
        <v>639</v>
      </c>
      <c r="CI151" s="49"/>
      <c r="CJ151" s="49"/>
      <c r="CK151" s="49"/>
      <c r="CL151" s="49"/>
      <c r="CM151" s="49"/>
      <c r="CN151" s="49"/>
      <c r="CO151" s="83" t="s">
        <v>538</v>
      </c>
      <c r="CP151" s="84"/>
      <c r="CQ151" s="2"/>
      <c r="CR151" s="45"/>
      <c r="CS151" s="45"/>
      <c r="CT151" s="45"/>
      <c r="CU151" s="45"/>
      <c r="CV151" s="10"/>
      <c r="CX151" s="32"/>
      <c r="CY151" s="31"/>
      <c r="CZ151" s="33"/>
      <c r="DA151" s="31"/>
      <c r="DC151" s="32"/>
      <c r="DD151" s="32"/>
      <c r="DE151" s="64"/>
      <c r="DF151" s="64"/>
      <c r="DH151" s="836" t="s">
        <v>4408</v>
      </c>
      <c r="DI151" s="836" t="s">
        <v>5079</v>
      </c>
      <c r="DJ151" s="836"/>
      <c r="DK151" s="836" t="str">
        <f t="shared" si="24"/>
        <v>10607URA</v>
      </c>
      <c r="DL151" s="838" t="s">
        <v>971</v>
      </c>
      <c r="DM151" s="838" t="s">
        <v>5073</v>
      </c>
      <c r="DN151" s="839" t="str">
        <f>IF(AC166="","0000000",ASC(AC166))</f>
        <v>0000000</v>
      </c>
      <c r="DV151" s="21"/>
      <c r="DW151" s="2"/>
      <c r="DX151" s="85"/>
      <c r="DY151" s="85"/>
    </row>
    <row r="152" spans="1:129" ht="19.5" customHeight="1">
      <c r="A152" s="111"/>
      <c r="B152" s="181"/>
      <c r="C152" s="1799" t="s">
        <v>3580</v>
      </c>
      <c r="D152" s="1800"/>
      <c r="E152" s="1800"/>
      <c r="F152" s="1800"/>
      <c r="G152" s="1800"/>
      <c r="H152" s="1800"/>
      <c r="I152" s="1803" t="s">
        <v>3581</v>
      </c>
      <c r="J152" s="1804"/>
      <c r="K152" s="1807"/>
      <c r="L152" s="1807"/>
      <c r="M152" s="1807"/>
      <c r="N152" s="1807"/>
      <c r="O152" s="1807"/>
      <c r="P152" s="1807"/>
      <c r="Q152" s="1807"/>
      <c r="R152" s="1807"/>
      <c r="S152" s="1807"/>
      <c r="T152" s="1807"/>
      <c r="U152" s="1807"/>
      <c r="V152" s="1807"/>
      <c r="W152" s="1807"/>
      <c r="X152" s="1807"/>
      <c r="Y152" s="1809" t="s">
        <v>3582</v>
      </c>
      <c r="Z152" s="1810"/>
      <c r="AA152" s="723" t="s">
        <v>3583</v>
      </c>
      <c r="AB152" s="1813"/>
      <c r="AC152" s="1813"/>
      <c r="AD152" s="723" t="s">
        <v>991</v>
      </c>
      <c r="AE152" s="1813"/>
      <c r="AF152" s="1813"/>
      <c r="AG152" s="1814" t="s">
        <v>3584</v>
      </c>
      <c r="AH152" s="1815"/>
      <c r="AI152" s="1815"/>
      <c r="AJ152" s="1816"/>
      <c r="AK152" s="1602"/>
      <c r="AL152" s="1602"/>
      <c r="AM152" s="1602"/>
      <c r="AN152" s="1602"/>
      <c r="AO152" s="1602"/>
      <c r="AP152" s="1602"/>
      <c r="AQ152" s="1602"/>
      <c r="AR152" s="1602"/>
      <c r="AS152" s="1602"/>
      <c r="AT152" s="1817"/>
      <c r="AU152" s="171"/>
      <c r="BZ152" s="11"/>
      <c r="CA152" s="89"/>
      <c r="CB152" s="152"/>
      <c r="CC152" s="4"/>
      <c r="CD152" s="108"/>
      <c r="CE152" s="108"/>
      <c r="CF152" s="108"/>
      <c r="CG152" s="21"/>
      <c r="CH152" s="49" t="s">
        <v>131</v>
      </c>
      <c r="CI152" s="49"/>
      <c r="CJ152" s="49"/>
      <c r="CK152" s="49"/>
      <c r="CL152" s="49"/>
      <c r="CM152" s="49"/>
      <c r="CN152" s="49"/>
      <c r="CO152" s="83" t="s">
        <v>635</v>
      </c>
      <c r="CP152" s="84"/>
      <c r="CQ152" s="2"/>
      <c r="CR152" s="45"/>
      <c r="CS152" s="45"/>
      <c r="CT152" s="45"/>
      <c r="CU152" s="45"/>
      <c r="CV152" s="10"/>
      <c r="CX152" s="32"/>
      <c r="CY152" s="31"/>
      <c r="CZ152" s="33"/>
      <c r="DA152" s="31"/>
      <c r="DC152" s="32"/>
      <c r="DD152" s="32"/>
      <c r="DE152" s="64"/>
      <c r="DF152" s="64"/>
      <c r="DH152" s="836" t="s">
        <v>4408</v>
      </c>
      <c r="DI152" s="836" t="s">
        <v>5080</v>
      </c>
      <c r="DJ152" s="836"/>
      <c r="DK152" s="836" t="str">
        <f t="shared" si="24"/>
        <v>10607URB</v>
      </c>
      <c r="DL152" s="838" t="s">
        <v>971</v>
      </c>
      <c r="DM152" s="838" t="s">
        <v>5075</v>
      </c>
      <c r="DN152" s="839" t="str">
        <f>IF(AC167="","0000000",ASC(AC167))</f>
        <v>0000000</v>
      </c>
      <c r="DV152" s="21"/>
      <c r="DW152" s="2"/>
      <c r="DX152" s="85"/>
      <c r="DY152" s="85"/>
    </row>
    <row r="153" spans="1:129" ht="19.5" customHeight="1" thickBot="1">
      <c r="A153" s="111"/>
      <c r="B153" s="181"/>
      <c r="C153" s="2962"/>
      <c r="D153" s="2963"/>
      <c r="E153" s="2963"/>
      <c r="F153" s="2963"/>
      <c r="G153" s="2963"/>
      <c r="H153" s="2963"/>
      <c r="I153" s="2874"/>
      <c r="J153" s="2875"/>
      <c r="K153" s="2961"/>
      <c r="L153" s="2961"/>
      <c r="M153" s="2961"/>
      <c r="N153" s="2961"/>
      <c r="O153" s="2961"/>
      <c r="P153" s="2961"/>
      <c r="Q153" s="2961"/>
      <c r="R153" s="2961"/>
      <c r="S153" s="2961"/>
      <c r="T153" s="2961"/>
      <c r="U153" s="2961"/>
      <c r="V153" s="2961"/>
      <c r="W153" s="2961"/>
      <c r="X153" s="2961"/>
      <c r="Y153" s="2942"/>
      <c r="Z153" s="2943"/>
      <c r="AA153" s="2876"/>
      <c r="AB153" s="2876"/>
      <c r="AC153" s="2876"/>
      <c r="AD153" s="2876"/>
      <c r="AE153" s="2876"/>
      <c r="AF153" s="2876"/>
      <c r="AG153" s="2876"/>
      <c r="AH153" s="2876"/>
      <c r="AI153" s="2876"/>
      <c r="AJ153" s="2876"/>
      <c r="AK153" s="2876"/>
      <c r="AL153" s="2876"/>
      <c r="AM153" s="2876"/>
      <c r="AN153" s="2876"/>
      <c r="AO153" s="2876"/>
      <c r="AP153" s="2876"/>
      <c r="AQ153" s="2876"/>
      <c r="AR153" s="2876"/>
      <c r="AS153" s="2876"/>
      <c r="AT153" s="2877"/>
      <c r="AU153" s="171"/>
      <c r="AV153" s="531" t="str">
        <f>IF(AND(AV154&lt;&gt;0,AW154="OK",AV158&lt;&gt;0,AV159&lt;&gt;0,AW159="OK",AV160&lt;&gt;0,AV161&lt;&gt;0,AW161&lt;&gt;0),"OK","NG")</f>
        <v>OK</v>
      </c>
      <c r="AW153" s="499" t="s">
        <v>2077</v>
      </c>
      <c r="BZ153" s="11"/>
      <c r="CA153" s="89"/>
      <c r="CB153" s="152"/>
      <c r="CC153" s="4"/>
      <c r="CD153" s="108"/>
      <c r="CE153" s="108"/>
      <c r="CF153" s="108"/>
      <c r="CG153" s="21"/>
      <c r="CH153" s="49" t="s">
        <v>128</v>
      </c>
      <c r="CI153" s="49"/>
      <c r="CJ153" s="49"/>
      <c r="CK153" s="49"/>
      <c r="CL153" s="49"/>
      <c r="CM153" s="49"/>
      <c r="CN153" s="49"/>
      <c r="CO153" s="83" t="s">
        <v>539</v>
      </c>
      <c r="CP153" s="51" t="str">
        <f>IF(AB152="","",ASC(AB152&amp;"-"&amp;AE152))</f>
        <v/>
      </c>
      <c r="CQ153" s="2"/>
      <c r="CR153" s="45"/>
      <c r="CS153" s="45"/>
      <c r="CT153" s="45"/>
      <c r="CU153" s="45"/>
      <c r="CV153" s="10"/>
      <c r="CY153" s="31"/>
      <c r="DC153" s="32"/>
      <c r="DE153" s="64"/>
      <c r="DF153" s="64"/>
      <c r="DH153" s="836" t="s">
        <v>3772</v>
      </c>
      <c r="DI153" s="836" t="s">
        <v>5484</v>
      </c>
      <c r="DJ153" s="836"/>
      <c r="DK153" s="836" t="str">
        <f t="shared" si="24"/>
        <v>94401Q87</v>
      </c>
      <c r="DL153" s="838" t="s">
        <v>3804</v>
      </c>
      <c r="DM153" s="838" t="s">
        <v>5489</v>
      </c>
      <c r="DN153" s="839" t="str">
        <f>T(記入シート1!AB67)</f>
        <v/>
      </c>
      <c r="DV153" s="28"/>
      <c r="DX153" s="85"/>
      <c r="DY153" s="85"/>
    </row>
    <row r="154" spans="1:129" ht="19.5" customHeight="1">
      <c r="A154" s="354"/>
      <c r="B154" s="181"/>
      <c r="C154" s="1793" t="s">
        <v>4350</v>
      </c>
      <c r="D154" s="1794"/>
      <c r="E154" s="1794"/>
      <c r="F154" s="1794"/>
      <c r="G154" s="1794"/>
      <c r="H154" s="1794"/>
      <c r="I154" s="1794"/>
      <c r="J154" s="1795"/>
      <c r="K154" s="1787" t="s">
        <v>4351</v>
      </c>
      <c r="L154" s="1787"/>
      <c r="M154" s="1787"/>
      <c r="N154" s="1787"/>
      <c r="O154" s="1787"/>
      <c r="P154" s="1788"/>
      <c r="Q154" s="883"/>
      <c r="R154" s="883"/>
      <c r="S154" s="1738" t="s">
        <v>4359</v>
      </c>
      <c r="T154" s="1738"/>
      <c r="U154" s="1738"/>
      <c r="V154" s="1738"/>
      <c r="W154" s="883"/>
      <c r="X154" s="883"/>
      <c r="Y154" s="1738" t="s">
        <v>4360</v>
      </c>
      <c r="Z154" s="1738"/>
      <c r="AA154" s="1738"/>
      <c r="AB154" s="1738"/>
      <c r="AC154" s="882"/>
      <c r="AD154" s="883"/>
      <c r="AE154" s="883"/>
      <c r="AF154" s="883"/>
      <c r="AG154" s="883"/>
      <c r="AH154" s="883"/>
      <c r="AI154" s="883"/>
      <c r="AJ154" s="883"/>
      <c r="AK154" s="883"/>
      <c r="AL154" s="883"/>
      <c r="AM154" s="883"/>
      <c r="AN154" s="883"/>
      <c r="AO154" s="883"/>
      <c r="AP154" s="883"/>
      <c r="AQ154" s="883"/>
      <c r="AR154" s="883"/>
      <c r="AS154" s="883"/>
      <c r="AT154" s="886"/>
      <c r="AU154" s="171"/>
      <c r="AV154" s="151">
        <v>1</v>
      </c>
      <c r="AW154" s="11" t="str">
        <f>IF(AV154=2,IF(AND(Q155&lt;&gt;"",AV156&lt;&gt;0,AW156&lt;&gt;0,AV157&lt;&gt;0),"OK","NG"),"OK")</f>
        <v>OK</v>
      </c>
      <c r="BZ154" s="11"/>
      <c r="CA154" s="89"/>
      <c r="CB154" s="152"/>
      <c r="CC154" s="4"/>
      <c r="CD154" s="108"/>
      <c r="CE154" s="108"/>
      <c r="CF154" s="108"/>
      <c r="CG154" s="21"/>
      <c r="CH154" s="49" t="s">
        <v>125</v>
      </c>
      <c r="CI154" s="49"/>
      <c r="CJ154" s="49"/>
      <c r="CK154" s="49"/>
      <c r="CL154" s="49"/>
      <c r="CM154" s="49"/>
      <c r="CN154" s="49"/>
      <c r="CO154" s="83" t="s">
        <v>540</v>
      </c>
      <c r="CP154" s="51" t="str">
        <f>SUBSTITUTE(SUBSTITUTE(SUBSTITUTE(SUBSTITUTE(T(AA153),"　","")," ",""),"―","ー"),"－","‐")</f>
        <v/>
      </c>
      <c r="CQ154" s="2"/>
      <c r="CR154" s="45"/>
      <c r="CS154" s="45"/>
      <c r="CT154" s="45"/>
      <c r="CU154" s="45"/>
      <c r="CV154" s="10"/>
      <c r="CY154" s="31"/>
      <c r="DC154" s="32"/>
      <c r="DE154" s="64"/>
      <c r="DF154" s="64"/>
      <c r="DH154" s="836" t="s">
        <v>3772</v>
      </c>
      <c r="DI154" s="836" t="s">
        <v>5485</v>
      </c>
      <c r="DJ154" s="836" t="s">
        <v>5486</v>
      </c>
      <c r="DK154" s="836" t="str">
        <f t="shared" si="24"/>
        <v>94401Q88</v>
      </c>
      <c r="DL154" s="838" t="s">
        <v>3804</v>
      </c>
      <c r="DM154" s="838" t="s">
        <v>5490</v>
      </c>
      <c r="DN154" s="839" t="str">
        <f>ASC(AZ79)</f>
        <v>2</v>
      </c>
      <c r="DV154" s="28"/>
      <c r="DX154" s="85"/>
      <c r="DY154" s="85"/>
    </row>
    <row r="155" spans="1:129" ht="19.5" customHeight="1">
      <c r="A155" s="354"/>
      <c r="B155" s="181"/>
      <c r="C155" s="1796"/>
      <c r="D155" s="1797"/>
      <c r="E155" s="1797"/>
      <c r="F155" s="1797"/>
      <c r="G155" s="1797"/>
      <c r="H155" s="1797"/>
      <c r="I155" s="1797"/>
      <c r="J155" s="1798"/>
      <c r="K155" s="1736" t="s">
        <v>4352</v>
      </c>
      <c r="L155" s="1736"/>
      <c r="M155" s="1736"/>
      <c r="N155" s="1736"/>
      <c r="O155" s="1736"/>
      <c r="P155" s="1737"/>
      <c r="Q155" s="1820"/>
      <c r="R155" s="1821"/>
      <c r="S155" s="1821"/>
      <c r="T155" s="1821"/>
      <c r="U155" s="1821"/>
      <c r="V155" s="1821"/>
      <c r="W155" s="1821"/>
      <c r="X155" s="1821"/>
      <c r="Y155" s="1821"/>
      <c r="Z155" s="1821"/>
      <c r="AA155" s="1821"/>
      <c r="AB155" s="1821"/>
      <c r="AC155" s="1821"/>
      <c r="AD155" s="1821"/>
      <c r="AE155" s="1821"/>
      <c r="AF155" s="1821"/>
      <c r="AG155" s="1821"/>
      <c r="AH155" s="1821"/>
      <c r="AI155" s="884"/>
      <c r="AJ155" s="888"/>
      <c r="AK155" s="888"/>
      <c r="AL155" s="888"/>
      <c r="AM155" s="888"/>
      <c r="AN155" s="888"/>
      <c r="AO155" s="888"/>
      <c r="AP155" s="888"/>
      <c r="AQ155" s="888"/>
      <c r="AR155" s="888"/>
      <c r="AS155" s="888"/>
      <c r="AT155" s="889"/>
      <c r="AU155" s="171"/>
      <c r="AW155" s="11"/>
      <c r="BZ155" s="11"/>
      <c r="CA155" s="89"/>
      <c r="CB155" s="152"/>
      <c r="CC155" s="4"/>
      <c r="CD155" s="108"/>
      <c r="CE155" s="108"/>
      <c r="CF155" s="108"/>
      <c r="CG155" s="21"/>
      <c r="CH155" s="49" t="s">
        <v>124</v>
      </c>
      <c r="CI155" s="49"/>
      <c r="CJ155" s="49"/>
      <c r="CK155" s="49"/>
      <c r="CL155" s="49"/>
      <c r="CM155" s="49"/>
      <c r="CN155" s="49"/>
      <c r="CO155" s="83" t="s">
        <v>541</v>
      </c>
      <c r="CP155" s="84"/>
      <c r="CQ155" s="2"/>
      <c r="CR155" s="45"/>
      <c r="CS155" s="45"/>
      <c r="CT155" s="45"/>
      <c r="CU155" s="45"/>
      <c r="CV155" s="10"/>
      <c r="DE155" s="64"/>
      <c r="DF155" s="64"/>
      <c r="DH155" s="836" t="s">
        <v>3772</v>
      </c>
      <c r="DI155" s="836" t="s">
        <v>4862</v>
      </c>
      <c r="DJ155" s="836"/>
      <c r="DK155" s="836" t="str">
        <f t="shared" si="24"/>
        <v>94401Q89</v>
      </c>
      <c r="DL155" s="838" t="s">
        <v>3804</v>
      </c>
      <c r="DM155" s="838" t="s">
        <v>5491</v>
      </c>
      <c r="DN155" s="839" t="str">
        <f>IF(OR(AX79="0000",AX79=""),"",ASC(AX79))</f>
        <v>1917</v>
      </c>
      <c r="DV155" s="28"/>
      <c r="DX155" s="85"/>
      <c r="DY155" s="85"/>
    </row>
    <row r="156" spans="1:129" ht="19.5" customHeight="1">
      <c r="A156" s="354"/>
      <c r="B156" s="181"/>
      <c r="C156" s="1796"/>
      <c r="D156" s="1797"/>
      <c r="E156" s="1797"/>
      <c r="F156" s="1797"/>
      <c r="G156" s="1797"/>
      <c r="H156" s="1797"/>
      <c r="I156" s="1797"/>
      <c r="J156" s="1798"/>
      <c r="K156" s="1736" t="s">
        <v>4353</v>
      </c>
      <c r="L156" s="1736"/>
      <c r="M156" s="1736"/>
      <c r="N156" s="1736"/>
      <c r="O156" s="1736"/>
      <c r="P156" s="1737"/>
      <c r="Q156" s="885"/>
      <c r="R156" s="885"/>
      <c r="S156" s="1681" t="s">
        <v>4363</v>
      </c>
      <c r="T156" s="1681"/>
      <c r="U156" s="1681"/>
      <c r="V156" s="1681"/>
      <c r="W156" s="885"/>
      <c r="X156" s="885"/>
      <c r="Y156" s="1681" t="s">
        <v>4364</v>
      </c>
      <c r="Z156" s="1681"/>
      <c r="AA156" s="1681"/>
      <c r="AB156" s="1739"/>
      <c r="AC156" s="1740" t="s">
        <v>4354</v>
      </c>
      <c r="AD156" s="1681"/>
      <c r="AE156" s="1681"/>
      <c r="AF156" s="1681"/>
      <c r="AG156" s="1681"/>
      <c r="AH156" s="1741"/>
      <c r="AI156" s="885"/>
      <c r="AJ156" s="885"/>
      <c r="AK156" s="1681" t="s">
        <v>4372</v>
      </c>
      <c r="AL156" s="1681"/>
      <c r="AM156" s="1681"/>
      <c r="AN156" s="1681"/>
      <c r="AO156" s="885"/>
      <c r="AP156" s="885"/>
      <c r="AQ156" s="1681" t="s">
        <v>4371</v>
      </c>
      <c r="AR156" s="1681"/>
      <c r="AS156" s="1681"/>
      <c r="AT156" s="1735"/>
      <c r="AU156" s="171"/>
      <c r="AV156" s="151">
        <v>0</v>
      </c>
      <c r="AW156" s="151">
        <v>0</v>
      </c>
      <c r="BZ156" s="11"/>
      <c r="CA156" s="89"/>
      <c r="CB156" s="152"/>
      <c r="CC156" s="4"/>
      <c r="CD156" s="108"/>
      <c r="CE156" s="108"/>
      <c r="CF156" s="108"/>
      <c r="CG156" s="21"/>
      <c r="CH156" s="49" t="s">
        <v>119</v>
      </c>
      <c r="CI156" s="49"/>
      <c r="CJ156" s="49"/>
      <c r="CK156" s="49"/>
      <c r="CL156" s="49"/>
      <c r="CM156" s="49"/>
      <c r="CN156" s="49"/>
      <c r="CO156" s="83" t="s">
        <v>542</v>
      </c>
      <c r="CP156" s="84"/>
      <c r="CQ156" s="2"/>
      <c r="CR156" s="45"/>
      <c r="CS156" s="45"/>
      <c r="CT156" s="45"/>
      <c r="CU156" s="45"/>
      <c r="CV156" s="10"/>
      <c r="DE156" s="64"/>
      <c r="DF156" s="64"/>
      <c r="DH156" s="836" t="s">
        <v>3772</v>
      </c>
      <c r="DI156" s="836" t="s">
        <v>5487</v>
      </c>
      <c r="DJ156" s="836" t="s">
        <v>3394</v>
      </c>
      <c r="DK156" s="836" t="str">
        <f t="shared" si="24"/>
        <v>94401Q8A</v>
      </c>
      <c r="DL156" s="838" t="s">
        <v>3804</v>
      </c>
      <c r="DM156" s="838" t="s">
        <v>5492</v>
      </c>
      <c r="DN156" s="839" t="str">
        <f>IF(BA79=1,"1","0")</f>
        <v>0</v>
      </c>
      <c r="DX156" s="85"/>
      <c r="DY156" s="85"/>
    </row>
    <row r="157" spans="1:129" ht="19.5" customHeight="1">
      <c r="A157" s="354"/>
      <c r="B157" s="181"/>
      <c r="C157" s="1796"/>
      <c r="D157" s="1797"/>
      <c r="E157" s="1797"/>
      <c r="F157" s="1797"/>
      <c r="G157" s="1797"/>
      <c r="H157" s="1797"/>
      <c r="I157" s="1797"/>
      <c r="J157" s="1798"/>
      <c r="K157" s="1736" t="s">
        <v>4355</v>
      </c>
      <c r="L157" s="1736"/>
      <c r="M157" s="1736"/>
      <c r="N157" s="1736"/>
      <c r="O157" s="1736"/>
      <c r="P157" s="1737"/>
      <c r="Q157" s="885"/>
      <c r="R157" s="885"/>
      <c r="S157" s="1681" t="s">
        <v>4361</v>
      </c>
      <c r="T157" s="1681"/>
      <c r="U157" s="1681"/>
      <c r="V157" s="1681"/>
      <c r="W157" s="885"/>
      <c r="X157" s="885"/>
      <c r="Y157" s="1681" t="s">
        <v>4362</v>
      </c>
      <c r="Z157" s="1681"/>
      <c r="AA157" s="1681"/>
      <c r="AB157" s="1739"/>
      <c r="AC157" s="884"/>
      <c r="AD157" s="885"/>
      <c r="AE157" s="885"/>
      <c r="AF157" s="885"/>
      <c r="AG157" s="885"/>
      <c r="AH157" s="885"/>
      <c r="AI157" s="885"/>
      <c r="AJ157" s="885"/>
      <c r="AK157" s="885"/>
      <c r="AL157" s="885"/>
      <c r="AM157" s="885"/>
      <c r="AN157" s="885"/>
      <c r="AO157" s="885"/>
      <c r="AP157" s="885"/>
      <c r="AQ157" s="885"/>
      <c r="AR157" s="885"/>
      <c r="AS157" s="885"/>
      <c r="AT157" s="887"/>
      <c r="AU157" s="171"/>
      <c r="AV157" s="151">
        <v>0</v>
      </c>
      <c r="AW157" s="11"/>
      <c r="BZ157" s="11"/>
      <c r="CA157" s="89"/>
      <c r="CB157" s="152"/>
      <c r="CC157" s="4"/>
      <c r="CD157" s="108"/>
      <c r="CE157" s="108"/>
      <c r="CF157" s="108"/>
      <c r="CG157" s="28"/>
      <c r="CH157" s="49" t="s">
        <v>118</v>
      </c>
      <c r="CI157" s="49"/>
      <c r="CJ157" s="49"/>
      <c r="CK157" s="49"/>
      <c r="CL157" s="49"/>
      <c r="CM157" s="49"/>
      <c r="CN157" s="49"/>
      <c r="CO157" s="83" t="s">
        <v>543</v>
      </c>
      <c r="CP157" s="84"/>
      <c r="CQ157" s="2"/>
      <c r="CR157" s="45"/>
      <c r="CS157" s="45"/>
      <c r="CT157" s="45"/>
      <c r="CU157" s="45"/>
      <c r="CV157" s="10"/>
      <c r="DE157" s="64"/>
      <c r="DF157" s="64"/>
      <c r="DH157" s="836" t="s">
        <v>3772</v>
      </c>
      <c r="DI157" s="836" t="s">
        <v>4409</v>
      </c>
      <c r="DJ157" s="836" t="s">
        <v>5488</v>
      </c>
      <c r="DK157" s="836" t="str">
        <f t="shared" si="24"/>
        <v>94401Q8B</v>
      </c>
      <c r="DL157" s="838" t="s">
        <v>3804</v>
      </c>
      <c r="DM157" s="838" t="s">
        <v>5493</v>
      </c>
      <c r="DN157" s="839" t="str">
        <f>IF(AS78="直接","4","1")</f>
        <v>1</v>
      </c>
      <c r="DX157" s="85"/>
      <c r="DY157" s="85"/>
    </row>
    <row r="158" spans="1:129" ht="19.5" customHeight="1" thickBot="1">
      <c r="A158" s="354"/>
      <c r="B158" s="181"/>
      <c r="C158" s="1796"/>
      <c r="D158" s="1797"/>
      <c r="E158" s="1797"/>
      <c r="F158" s="1797"/>
      <c r="G158" s="1797"/>
      <c r="H158" s="1797"/>
      <c r="I158" s="1797"/>
      <c r="J158" s="1798"/>
      <c r="K158" s="1785" t="s">
        <v>4356</v>
      </c>
      <c r="L158" s="1785"/>
      <c r="M158" s="1785"/>
      <c r="N158" s="1785"/>
      <c r="O158" s="1785"/>
      <c r="P158" s="1786"/>
      <c r="Q158" s="888"/>
      <c r="R158" s="888"/>
      <c r="S158" s="1686" t="s">
        <v>4365</v>
      </c>
      <c r="T158" s="1686"/>
      <c r="U158" s="1686"/>
      <c r="V158" s="888"/>
      <c r="W158" s="888"/>
      <c r="X158" s="1686" t="s">
        <v>4367</v>
      </c>
      <c r="Y158" s="1686"/>
      <c r="Z158" s="1686"/>
      <c r="AA158" s="888"/>
      <c r="AB158" s="888"/>
      <c r="AC158" s="1686" t="s">
        <v>4366</v>
      </c>
      <c r="AD158" s="1686"/>
      <c r="AE158" s="1753"/>
      <c r="AF158" s="933"/>
      <c r="AG158" s="888"/>
      <c r="AH158" s="888"/>
      <c r="AI158" s="888"/>
      <c r="AJ158" s="888"/>
      <c r="AK158" s="888"/>
      <c r="AL158" s="888"/>
      <c r="AM158" s="888"/>
      <c r="AN158" s="888"/>
      <c r="AO158" s="888"/>
      <c r="AP158" s="888"/>
      <c r="AQ158" s="888"/>
      <c r="AR158" s="888"/>
      <c r="AS158" s="888"/>
      <c r="AT158" s="889"/>
      <c r="AU158" s="171"/>
      <c r="AV158" s="151">
        <v>2</v>
      </c>
      <c r="AW158" s="11"/>
      <c r="BZ158" s="11"/>
      <c r="CA158" s="89"/>
      <c r="CB158" s="152"/>
      <c r="CC158" s="4"/>
      <c r="CD158" s="108"/>
      <c r="CE158" s="108"/>
      <c r="CF158" s="108"/>
      <c r="CG158" s="28"/>
      <c r="CH158" s="49" t="s">
        <v>109</v>
      </c>
      <c r="CI158" s="49"/>
      <c r="CJ158" s="49"/>
      <c r="CK158" s="49"/>
      <c r="CL158" s="49"/>
      <c r="CM158" s="49"/>
      <c r="CN158" s="49"/>
      <c r="CO158" s="83" t="s">
        <v>545</v>
      </c>
      <c r="CP158" s="84"/>
      <c r="CQ158" s="2"/>
      <c r="CR158" s="45"/>
      <c r="CS158" s="45"/>
      <c r="CT158" s="45"/>
      <c r="CU158" s="45"/>
      <c r="CV158" s="10"/>
      <c r="DE158" s="64"/>
      <c r="DF158" s="64"/>
      <c r="DH158" s="836" t="s">
        <v>2152</v>
      </c>
      <c r="DI158" s="836" t="s">
        <v>5495</v>
      </c>
      <c r="DJ158" s="836"/>
      <c r="DK158" s="836" t="str">
        <f t="shared" si="24"/>
        <v>93601Q04</v>
      </c>
      <c r="DL158" s="838" t="s">
        <v>2186</v>
      </c>
      <c r="DM158" s="838" t="s">
        <v>5494</v>
      </c>
      <c r="DN158" s="839" t="str">
        <f>IF(AV83=2,"1:利用する","0:利用しない")</f>
        <v>0:利用しない</v>
      </c>
      <c r="DX158" s="85"/>
      <c r="DY158" s="85"/>
    </row>
    <row r="159" spans="1:129" ht="19.5" customHeight="1" thickTop="1" thickBot="1">
      <c r="A159" s="354"/>
      <c r="B159" s="181"/>
      <c r="C159" s="1067"/>
      <c r="D159" s="1068"/>
      <c r="E159" s="1068"/>
      <c r="F159" s="1068"/>
      <c r="G159" s="2520" t="s">
        <v>5643</v>
      </c>
      <c r="H159" s="2521"/>
      <c r="I159" s="2521"/>
      <c r="J159" s="2522"/>
      <c r="K159" s="1748" t="s">
        <v>4376</v>
      </c>
      <c r="L159" s="1749"/>
      <c r="M159" s="1749"/>
      <c r="N159" s="1749"/>
      <c r="O159" s="1749"/>
      <c r="P159" s="1750"/>
      <c r="Q159" s="1072"/>
      <c r="R159" s="1072"/>
      <c r="S159" s="1746" t="s">
        <v>4377</v>
      </c>
      <c r="T159" s="1746"/>
      <c r="U159" s="1746"/>
      <c r="V159" s="1746"/>
      <c r="W159" s="1073"/>
      <c r="X159" s="1073"/>
      <c r="Y159" s="1746" t="s">
        <v>4378</v>
      </c>
      <c r="Z159" s="1746"/>
      <c r="AA159" s="1746"/>
      <c r="AB159" s="1747"/>
      <c r="AC159" s="1748" t="s">
        <v>4357</v>
      </c>
      <c r="AD159" s="1749"/>
      <c r="AE159" s="1749"/>
      <c r="AF159" s="1749"/>
      <c r="AG159" s="1749"/>
      <c r="AH159" s="1749"/>
      <c r="AI159" s="1749"/>
      <c r="AJ159" s="1750"/>
      <c r="AK159" s="1779"/>
      <c r="AL159" s="1779"/>
      <c r="AM159" s="1779"/>
      <c r="AN159" s="1779"/>
      <c r="AO159" s="1779"/>
      <c r="AP159" s="1779"/>
      <c r="AQ159" s="1779"/>
      <c r="AR159" s="1779"/>
      <c r="AS159" s="1779"/>
      <c r="AT159" s="1780"/>
      <c r="AU159" s="171"/>
      <c r="AV159" s="151">
        <v>1</v>
      </c>
      <c r="AW159" s="151" t="str">
        <f>IF(AV159=2,IF(AK159&lt;&gt;"","OK","NG"),"OK")</f>
        <v>OK</v>
      </c>
      <c r="BZ159" s="11"/>
      <c r="CA159" s="89"/>
      <c r="CB159" s="152"/>
      <c r="CC159" s="4"/>
      <c r="CD159" s="108"/>
      <c r="CE159" s="108"/>
      <c r="CF159" s="108"/>
      <c r="CG159" s="28"/>
      <c r="CH159" s="49" t="s">
        <v>108</v>
      </c>
      <c r="CI159" s="49"/>
      <c r="CJ159" s="49"/>
      <c r="CK159" s="49"/>
      <c r="CL159" s="49"/>
      <c r="CM159" s="49"/>
      <c r="CN159" s="49"/>
      <c r="CO159" s="83" t="s">
        <v>546</v>
      </c>
      <c r="CP159" s="84"/>
      <c r="CQ159" s="2"/>
      <c r="CR159" s="45"/>
      <c r="CS159" s="45"/>
      <c r="CT159" s="45"/>
      <c r="CU159" s="45"/>
      <c r="CV159" s="10"/>
      <c r="DE159" s="64"/>
      <c r="DF159" s="64"/>
      <c r="DH159" s="836" t="s">
        <v>5068</v>
      </c>
      <c r="DI159" s="836" t="s">
        <v>5503</v>
      </c>
      <c r="DJ159" s="836"/>
      <c r="DK159" s="836" t="str">
        <f t="shared" si="24"/>
        <v>10624URC</v>
      </c>
      <c r="DL159" s="838" t="s">
        <v>3644</v>
      </c>
      <c r="DM159" s="838" t="s">
        <v>5504</v>
      </c>
      <c r="DN159" s="839" t="str">
        <f>UPPER(ASC(AO15))</f>
        <v>3911KG-79599</v>
      </c>
      <c r="DX159" s="85"/>
      <c r="DY159" s="85"/>
    </row>
    <row r="160" spans="1:129" ht="19.5" hidden="1" customHeight="1" thickTop="1">
      <c r="A160" s="354" t="s">
        <v>1234</v>
      </c>
      <c r="B160" s="181"/>
      <c r="C160" s="1067"/>
      <c r="D160" s="1068"/>
      <c r="E160" s="1068"/>
      <c r="F160" s="1068"/>
      <c r="G160" s="1068"/>
      <c r="H160" s="1068"/>
      <c r="I160" s="1068"/>
      <c r="J160" s="1068"/>
      <c r="K160" s="1782" t="s">
        <v>4358</v>
      </c>
      <c r="L160" s="1783"/>
      <c r="M160" s="1783"/>
      <c r="N160" s="1783"/>
      <c r="O160" s="1783"/>
      <c r="P160" s="1784"/>
      <c r="Q160" s="1071"/>
      <c r="R160" s="1071"/>
      <c r="S160" s="1783" t="s">
        <v>4359</v>
      </c>
      <c r="T160" s="1783"/>
      <c r="U160" s="1783"/>
      <c r="V160" s="1783"/>
      <c r="W160" s="1071"/>
      <c r="X160" s="1071"/>
      <c r="Y160" s="1783" t="s">
        <v>4360</v>
      </c>
      <c r="Z160" s="1783"/>
      <c r="AA160" s="1783"/>
      <c r="AB160" s="1783"/>
      <c r="AC160" s="901"/>
      <c r="AT160" s="902"/>
      <c r="AU160" s="171"/>
      <c r="AV160" s="151">
        <v>1</v>
      </c>
      <c r="AW160" s="151"/>
      <c r="BZ160" s="11"/>
      <c r="CA160" s="89"/>
      <c r="CB160" s="152"/>
      <c r="CC160" s="4"/>
      <c r="CD160" s="108"/>
      <c r="CE160" s="108"/>
      <c r="CF160" s="108"/>
      <c r="CH160" s="49" t="s">
        <v>104</v>
      </c>
      <c r="CI160" s="49"/>
      <c r="CJ160" s="49"/>
      <c r="CK160" s="49"/>
      <c r="CL160" s="49"/>
      <c r="CM160" s="49"/>
      <c r="CN160" s="49"/>
      <c r="CO160" s="83" t="s">
        <v>103</v>
      </c>
      <c r="CP160" s="84"/>
      <c r="CQ160" s="2"/>
      <c r="CR160" s="45"/>
      <c r="CS160" s="45"/>
      <c r="CT160" s="45"/>
      <c r="CU160" s="45"/>
      <c r="CV160" s="10"/>
      <c r="DE160" s="64"/>
      <c r="DH160" s="836" t="s">
        <v>3776</v>
      </c>
      <c r="DI160" s="836" t="s">
        <v>4409</v>
      </c>
      <c r="DJ160" s="836"/>
      <c r="DK160" s="836" t="str">
        <f t="shared" si="24"/>
        <v>11201344</v>
      </c>
      <c r="DL160" s="838" t="s">
        <v>5534</v>
      </c>
      <c r="DM160" s="838" t="s">
        <v>5535</v>
      </c>
      <c r="DN160" s="839">
        <f>IF(AS35="包括",1,4)</f>
        <v>1</v>
      </c>
      <c r="DX160" s="85"/>
      <c r="DY160" s="85"/>
    </row>
    <row r="161" spans="1:129" ht="19.5" hidden="1" customHeight="1" thickBot="1">
      <c r="A161" s="354" t="s">
        <v>1234</v>
      </c>
      <c r="B161" s="181"/>
      <c r="C161" s="1069"/>
      <c r="D161" s="1070"/>
      <c r="E161" s="1070"/>
      <c r="F161" s="1070"/>
      <c r="G161" s="1070"/>
      <c r="H161" s="1070"/>
      <c r="I161" s="1070"/>
      <c r="J161" s="1070"/>
      <c r="K161" s="1742" t="s">
        <v>4368</v>
      </c>
      <c r="L161" s="1137"/>
      <c r="M161" s="1137"/>
      <c r="N161" s="1137"/>
      <c r="O161" s="1743" t="s">
        <v>4369</v>
      </c>
      <c r="P161" s="1744"/>
      <c r="Q161" s="1744"/>
      <c r="R161" s="1745"/>
      <c r="S161" s="890"/>
      <c r="T161" s="890"/>
      <c r="U161" s="1751" t="s">
        <v>4359</v>
      </c>
      <c r="V161" s="1751"/>
      <c r="W161" s="1751"/>
      <c r="X161" s="1751"/>
      <c r="Y161" s="890"/>
      <c r="Z161" s="890"/>
      <c r="AA161" s="1751" t="s">
        <v>4360</v>
      </c>
      <c r="AB161" s="1751"/>
      <c r="AC161" s="1751"/>
      <c r="AD161" s="1752"/>
      <c r="AE161" s="1743" t="s">
        <v>4370</v>
      </c>
      <c r="AF161" s="1744"/>
      <c r="AG161" s="1744"/>
      <c r="AH161" s="1745"/>
      <c r="AI161" s="890"/>
      <c r="AJ161" s="890"/>
      <c r="AK161" s="1751" t="s">
        <v>4359</v>
      </c>
      <c r="AL161" s="1751"/>
      <c r="AM161" s="1751"/>
      <c r="AN161" s="1751"/>
      <c r="AO161" s="890"/>
      <c r="AP161" s="890"/>
      <c r="AQ161" s="1751" t="s">
        <v>4360</v>
      </c>
      <c r="AR161" s="1751"/>
      <c r="AS161" s="1751"/>
      <c r="AT161" s="1781"/>
      <c r="AU161" s="171"/>
      <c r="AV161" s="151">
        <v>1</v>
      </c>
      <c r="AW161" s="386">
        <v>1</v>
      </c>
      <c r="BZ161" s="11"/>
      <c r="CA161" s="89"/>
      <c r="CB161" s="152"/>
      <c r="CC161" s="4"/>
      <c r="CD161" s="108"/>
      <c r="CE161" s="108"/>
      <c r="CF161" s="108"/>
      <c r="CH161" s="49" t="s">
        <v>98</v>
      </c>
      <c r="CI161" s="49"/>
      <c r="CJ161" s="49"/>
      <c r="CK161" s="49"/>
      <c r="CL161" s="49"/>
      <c r="CM161" s="49"/>
      <c r="CN161" s="49"/>
      <c r="CO161" s="83" t="s">
        <v>547</v>
      </c>
      <c r="CP161" s="84"/>
      <c r="CQ161" s="2"/>
      <c r="CR161" s="45"/>
      <c r="CS161" s="45"/>
      <c r="CT161" s="45"/>
      <c r="CU161" s="45"/>
      <c r="CV161" s="10"/>
      <c r="DE161" s="64"/>
      <c r="DH161" s="836" t="s">
        <v>4408</v>
      </c>
      <c r="DI161" s="836" t="s">
        <v>5524</v>
      </c>
      <c r="DJ161" s="836"/>
      <c r="DK161" s="836" t="str">
        <f t="shared" si="24"/>
        <v>10607UQ6</v>
      </c>
      <c r="DL161" s="838" t="s">
        <v>5536</v>
      </c>
      <c r="DM161" s="838" t="s">
        <v>5537</v>
      </c>
      <c r="DN161" s="839">
        <f>IF(DN135=1,1,0)</f>
        <v>1</v>
      </c>
      <c r="DX161" s="85"/>
      <c r="DY161" s="85"/>
    </row>
    <row r="162" spans="1:129" ht="19.5" customHeight="1" thickTop="1" thickBot="1">
      <c r="A162" s="354"/>
      <c r="B162" s="181"/>
      <c r="C162" s="977"/>
      <c r="D162" s="977"/>
      <c r="E162" s="977"/>
      <c r="F162" s="977"/>
      <c r="G162" s="977"/>
      <c r="H162" s="977"/>
      <c r="I162" s="977"/>
      <c r="J162" s="977"/>
      <c r="K162" s="977"/>
      <c r="L162" s="978"/>
      <c r="M162" s="978"/>
      <c r="N162" s="978"/>
      <c r="O162" s="979"/>
      <c r="P162" s="979"/>
      <c r="Q162" s="980"/>
      <c r="R162" s="980"/>
      <c r="S162" s="980"/>
      <c r="T162" s="980"/>
      <c r="U162" s="980"/>
      <c r="V162" s="980"/>
      <c r="W162" s="980"/>
      <c r="X162" s="980"/>
      <c r="Y162" s="981"/>
      <c r="Z162" s="981"/>
      <c r="AA162" s="981"/>
      <c r="AB162" s="981"/>
      <c r="AC162" s="981"/>
      <c r="AD162" s="981"/>
      <c r="AE162" s="981"/>
      <c r="AF162" s="981"/>
      <c r="AG162" s="980"/>
      <c r="AH162" s="980"/>
      <c r="AI162" s="980"/>
      <c r="AJ162" s="980"/>
      <c r="AK162" s="982"/>
      <c r="AL162" s="982"/>
      <c r="AM162" s="983"/>
      <c r="AN162" s="983"/>
      <c r="AO162" s="982"/>
      <c r="AP162" s="982"/>
      <c r="AQ162" s="982"/>
      <c r="AR162" s="982"/>
      <c r="AS162" s="982"/>
      <c r="AT162" s="982"/>
      <c r="AU162" s="171"/>
      <c r="BZ162" s="11"/>
      <c r="CA162" s="89"/>
      <c r="CB162" s="152"/>
      <c r="CC162" s="4"/>
      <c r="CD162" s="108"/>
      <c r="CE162" s="108"/>
      <c r="CF162" s="108"/>
      <c r="CH162" s="49" t="s">
        <v>97</v>
      </c>
      <c r="CI162" s="49"/>
      <c r="CJ162" s="49"/>
      <c r="CK162" s="49"/>
      <c r="CL162" s="49"/>
      <c r="CM162" s="49"/>
      <c r="CN162" s="49"/>
      <c r="CO162" s="83" t="s">
        <v>548</v>
      </c>
      <c r="CP162" s="84"/>
      <c r="CQ162" s="2"/>
      <c r="CR162" s="45"/>
      <c r="CS162" s="45"/>
      <c r="CT162" s="45"/>
      <c r="CU162" s="45"/>
      <c r="CV162" s="10"/>
      <c r="DE162" s="64"/>
      <c r="DH162" s="836" t="s">
        <v>4408</v>
      </c>
      <c r="DI162" s="836" t="s">
        <v>5525</v>
      </c>
      <c r="DJ162" s="836"/>
      <c r="DK162" s="836" t="str">
        <f t="shared" si="24"/>
        <v>10607UQ7</v>
      </c>
      <c r="DL162" s="838" t="s">
        <v>5536</v>
      </c>
      <c r="DM162" s="838" t="s">
        <v>5538</v>
      </c>
      <c r="DN162" s="839">
        <f>IF(DN135=1,1,0)</f>
        <v>1</v>
      </c>
      <c r="DX162" s="85"/>
      <c r="DY162" s="85"/>
    </row>
    <row r="163" spans="1:129" ht="19.5" customHeight="1" thickTop="1">
      <c r="A163" s="354"/>
      <c r="B163" s="181"/>
      <c r="C163" s="1761" t="s">
        <v>2052</v>
      </c>
      <c r="D163" s="1762"/>
      <c r="E163" s="1762"/>
      <c r="F163" s="1762"/>
      <c r="G163" s="1762"/>
      <c r="H163" s="1762"/>
      <c r="I163" s="1762"/>
      <c r="J163" s="1763"/>
      <c r="K163" s="935"/>
      <c r="L163" s="936"/>
      <c r="M163" s="936"/>
      <c r="N163" s="936"/>
      <c r="O163" s="936"/>
      <c r="P163" s="936"/>
      <c r="Q163" s="936"/>
      <c r="R163" s="936"/>
      <c r="S163" s="936"/>
      <c r="T163" s="936"/>
      <c r="U163" s="936"/>
      <c r="V163" s="936"/>
      <c r="W163" s="936"/>
      <c r="X163" s="936"/>
      <c r="Y163" s="1682" t="s">
        <v>5022</v>
      </c>
      <c r="Z163" s="1683"/>
      <c r="AA163" s="1683"/>
      <c r="AB163" s="1684"/>
      <c r="AC163" s="1682" t="s">
        <v>5021</v>
      </c>
      <c r="AD163" s="1683"/>
      <c r="AE163" s="1683"/>
      <c r="AF163" s="1684"/>
      <c r="AG163" s="936"/>
      <c r="AH163" s="936"/>
      <c r="AI163" s="936"/>
      <c r="AJ163" s="936"/>
      <c r="AK163" s="936"/>
      <c r="AL163" s="936"/>
      <c r="AM163" s="936"/>
      <c r="AN163" s="936"/>
      <c r="AO163" s="936"/>
      <c r="AP163" s="936"/>
      <c r="AQ163" s="936"/>
      <c r="AR163" s="936"/>
      <c r="AS163" s="936"/>
      <c r="AT163" s="937"/>
      <c r="AU163" s="171"/>
      <c r="BZ163" s="11"/>
      <c r="CA163" s="89"/>
      <c r="CB163" s="152"/>
      <c r="CC163" s="4"/>
      <c r="CD163" s="108"/>
      <c r="CE163" s="108"/>
      <c r="CF163" s="108"/>
      <c r="CH163" s="49" t="s">
        <v>87</v>
      </c>
      <c r="CI163" s="49"/>
      <c r="CJ163" s="49"/>
      <c r="CK163" s="49"/>
      <c r="CL163" s="49"/>
      <c r="CM163" s="49"/>
      <c r="CN163" s="49"/>
      <c r="CO163" s="83" t="s">
        <v>549</v>
      </c>
      <c r="CP163" s="84"/>
      <c r="CQ163" s="2"/>
      <c r="CR163" s="45"/>
      <c r="CS163" s="45"/>
      <c r="CT163" s="45"/>
      <c r="CU163" s="45"/>
      <c r="CV163" s="10"/>
      <c r="CW163" s="32"/>
      <c r="DE163" s="64"/>
      <c r="DH163" s="836" t="s">
        <v>4408</v>
      </c>
      <c r="DI163" s="836" t="s">
        <v>5526</v>
      </c>
      <c r="DJ163" s="836"/>
      <c r="DK163" s="836" t="str">
        <f t="shared" si="24"/>
        <v>10607UQX</v>
      </c>
      <c r="DL163" s="838" t="s">
        <v>5536</v>
      </c>
      <c r="DM163" s="838" t="s">
        <v>5539</v>
      </c>
      <c r="DN163" s="839">
        <f>IF(DN135=1,1,0)</f>
        <v>1</v>
      </c>
      <c r="DX163" s="85"/>
      <c r="DY163" s="85"/>
    </row>
    <row r="164" spans="1:129" ht="19.5" customHeight="1">
      <c r="A164" s="354"/>
      <c r="B164" s="181"/>
      <c r="C164" s="1764"/>
      <c r="D164" s="1765"/>
      <c r="E164" s="1765"/>
      <c r="F164" s="1765"/>
      <c r="G164" s="1765"/>
      <c r="H164" s="1765"/>
      <c r="I164" s="1765"/>
      <c r="J164" s="1766"/>
      <c r="K164" s="1770" t="s">
        <v>5014</v>
      </c>
      <c r="L164" s="1771"/>
      <c r="M164" s="1771"/>
      <c r="N164" s="1771"/>
      <c r="O164" s="1771"/>
      <c r="P164" s="1772"/>
      <c r="Q164" s="1777" t="s">
        <v>5015</v>
      </c>
      <c r="R164" s="1777"/>
      <c r="S164" s="1777"/>
      <c r="T164" s="1777"/>
      <c r="U164" s="1777"/>
      <c r="V164" s="1777"/>
      <c r="W164" s="1777"/>
      <c r="X164" s="1777"/>
      <c r="Y164" s="1685" t="s">
        <v>5023</v>
      </c>
      <c r="Z164" s="1685"/>
      <c r="AA164" s="1685"/>
      <c r="AB164" s="1685"/>
      <c r="AC164" s="1685" t="s">
        <v>5029</v>
      </c>
      <c r="AD164" s="1685"/>
      <c r="AE164" s="1685"/>
      <c r="AF164" s="1685"/>
      <c r="AG164" s="933"/>
      <c r="AH164" s="888"/>
      <c r="AI164" s="888"/>
      <c r="AJ164" s="888"/>
      <c r="AK164" s="888"/>
      <c r="AL164" s="888"/>
      <c r="AM164" s="888"/>
      <c r="AN164" s="888"/>
      <c r="AO164" s="888"/>
      <c r="AP164" s="888"/>
      <c r="AQ164" s="888"/>
      <c r="AR164" s="888"/>
      <c r="AS164" s="888"/>
      <c r="AT164" s="934"/>
      <c r="AU164" s="171"/>
      <c r="BZ164" s="11"/>
      <c r="CA164" s="89"/>
      <c r="CB164" s="152"/>
      <c r="CC164" s="4"/>
      <c r="CD164" s="108"/>
      <c r="CE164" s="108"/>
      <c r="CF164" s="108"/>
      <c r="CH164" s="49" t="s">
        <v>45</v>
      </c>
      <c r="CI164" s="49"/>
      <c r="CJ164" s="49"/>
      <c r="CK164" s="49"/>
      <c r="CL164" s="49"/>
      <c r="CM164" s="49"/>
      <c r="CN164" s="49"/>
      <c r="CO164" s="83" t="s">
        <v>44</v>
      </c>
      <c r="CP164" s="84"/>
      <c r="CQ164" s="2"/>
      <c r="CR164" s="45"/>
      <c r="CS164" s="45"/>
      <c r="CT164" s="45"/>
      <c r="CU164" s="45"/>
      <c r="CV164" s="10"/>
      <c r="CW164" s="32"/>
      <c r="DE164" s="64"/>
      <c r="DH164" s="836" t="s">
        <v>4408</v>
      </c>
      <c r="DI164" s="836" t="s">
        <v>5527</v>
      </c>
      <c r="DJ164" s="836"/>
      <c r="DK164" s="836" t="str">
        <f t="shared" si="24"/>
        <v>10607UQY</v>
      </c>
      <c r="DL164" s="838" t="s">
        <v>5536</v>
      </c>
      <c r="DM164" s="838" t="s">
        <v>5540</v>
      </c>
      <c r="DN164" s="839">
        <f>IF(DN135=1,1,0)</f>
        <v>1</v>
      </c>
      <c r="DX164" s="85"/>
      <c r="DY164" s="85"/>
    </row>
    <row r="165" spans="1:129" ht="19.5" customHeight="1">
      <c r="A165" s="354"/>
      <c r="B165" s="181"/>
      <c r="C165" s="1764"/>
      <c r="D165" s="1765"/>
      <c r="E165" s="1765"/>
      <c r="F165" s="1765"/>
      <c r="G165" s="1765"/>
      <c r="H165" s="1765"/>
      <c r="I165" s="1765"/>
      <c r="J165" s="1766"/>
      <c r="K165" s="1773"/>
      <c r="L165" s="1771"/>
      <c r="M165" s="1771"/>
      <c r="N165" s="1771"/>
      <c r="O165" s="1771"/>
      <c r="P165" s="1772"/>
      <c r="Q165" s="1777" t="s">
        <v>5016</v>
      </c>
      <c r="R165" s="1777"/>
      <c r="S165" s="1777"/>
      <c r="T165" s="1777"/>
      <c r="U165" s="1777"/>
      <c r="V165" s="1777"/>
      <c r="W165" s="1777"/>
      <c r="X165" s="1777"/>
      <c r="Y165" s="1685" t="s">
        <v>5024</v>
      </c>
      <c r="Z165" s="1685"/>
      <c r="AA165" s="1685"/>
      <c r="AB165" s="1685"/>
      <c r="AC165" s="1685" t="s">
        <v>5024</v>
      </c>
      <c r="AD165" s="1685"/>
      <c r="AE165" s="1685"/>
      <c r="AF165" s="1685"/>
      <c r="AG165" s="633"/>
      <c r="AH165" s="126"/>
      <c r="AI165" s="126"/>
      <c r="AJ165" s="126"/>
      <c r="AK165" s="126"/>
      <c r="AL165" s="126"/>
      <c r="AM165" s="126"/>
      <c r="AN165" s="126"/>
      <c r="AO165" s="126"/>
      <c r="AP165" s="126"/>
      <c r="AQ165" s="126"/>
      <c r="AR165" s="126"/>
      <c r="AS165" s="126"/>
      <c r="AT165" s="938"/>
      <c r="AU165" s="171"/>
      <c r="BZ165" s="11"/>
      <c r="CA165" s="89"/>
      <c r="CB165" s="152"/>
      <c r="CC165" s="4"/>
      <c r="CD165" s="108"/>
      <c r="CE165" s="108"/>
      <c r="CF165" s="108"/>
      <c r="CH165" s="49" t="s">
        <v>43</v>
      </c>
      <c r="CI165" s="49"/>
      <c r="CJ165" s="49"/>
      <c r="CK165" s="49"/>
      <c r="CL165" s="49"/>
      <c r="CM165" s="49"/>
      <c r="CN165" s="49"/>
      <c r="CO165" s="83" t="s">
        <v>42</v>
      </c>
      <c r="CP165" s="84"/>
      <c r="CQ165" s="2"/>
      <c r="CR165" s="45"/>
      <c r="CS165" s="45"/>
      <c r="CT165" s="45"/>
      <c r="CU165" s="45"/>
      <c r="CV165" s="10"/>
      <c r="CW165" s="32"/>
      <c r="CX165" s="32"/>
      <c r="CZ165" s="64"/>
      <c r="DE165" s="64"/>
      <c r="DH165" s="836" t="s">
        <v>5528</v>
      </c>
      <c r="DI165" s="836" t="s">
        <v>5529</v>
      </c>
      <c r="DJ165" s="836"/>
      <c r="DK165" s="836" t="str">
        <f t="shared" si="24"/>
        <v>107042Z7</v>
      </c>
      <c r="DL165" s="838" t="s">
        <v>5541</v>
      </c>
      <c r="DM165" s="838" t="s">
        <v>5542</v>
      </c>
      <c r="DN165" s="839">
        <f>IF(AS29="包括",1,4)</f>
        <v>1</v>
      </c>
      <c r="DX165" s="85"/>
      <c r="DY165" s="85"/>
    </row>
    <row r="166" spans="1:129" ht="19.5" customHeight="1">
      <c r="A166" s="354"/>
      <c r="B166" s="181"/>
      <c r="C166" s="1764"/>
      <c r="D166" s="1765"/>
      <c r="E166" s="1765"/>
      <c r="F166" s="1765"/>
      <c r="G166" s="1765"/>
      <c r="H166" s="1765"/>
      <c r="I166" s="1765"/>
      <c r="J166" s="1766"/>
      <c r="K166" s="1773"/>
      <c r="L166" s="1771"/>
      <c r="M166" s="1771"/>
      <c r="N166" s="1771"/>
      <c r="O166" s="1771"/>
      <c r="P166" s="1772"/>
      <c r="Q166" s="1777" t="s">
        <v>5017</v>
      </c>
      <c r="R166" s="1777"/>
      <c r="S166" s="1777"/>
      <c r="T166" s="1777"/>
      <c r="U166" s="1777"/>
      <c r="V166" s="1777"/>
      <c r="W166" s="1777"/>
      <c r="X166" s="1777"/>
      <c r="Y166" s="1685" t="s">
        <v>5025</v>
      </c>
      <c r="Z166" s="1685"/>
      <c r="AA166" s="1685"/>
      <c r="AB166" s="1685"/>
      <c r="AC166" s="1685" t="s">
        <v>5028</v>
      </c>
      <c r="AD166" s="1685"/>
      <c r="AE166" s="1685"/>
      <c r="AF166" s="1685"/>
      <c r="AG166" s="633"/>
      <c r="AH166" s="126"/>
      <c r="AI166" s="126"/>
      <c r="AJ166" s="126"/>
      <c r="AK166" s="126"/>
      <c r="AL166" s="126"/>
      <c r="AM166" s="126"/>
      <c r="AN166" s="126"/>
      <c r="AO166" s="126"/>
      <c r="AP166" s="126"/>
      <c r="AQ166" s="126"/>
      <c r="AR166" s="126"/>
      <c r="AS166" s="126"/>
      <c r="AT166" s="938"/>
      <c r="AU166" s="171"/>
      <c r="BZ166" s="11"/>
      <c r="CA166" s="89"/>
      <c r="CB166" s="152"/>
      <c r="CC166" s="4"/>
      <c r="CD166" s="108"/>
      <c r="CE166" s="108"/>
      <c r="CF166" s="108"/>
      <c r="CH166" s="49" t="s">
        <v>41</v>
      </c>
      <c r="CI166" s="49"/>
      <c r="CJ166" s="49"/>
      <c r="CK166" s="49"/>
      <c r="CL166" s="49"/>
      <c r="CM166" s="49"/>
      <c r="CN166" s="49"/>
      <c r="CO166" s="83" t="s">
        <v>40</v>
      </c>
      <c r="CP166" s="84"/>
      <c r="CQ166" s="2"/>
      <c r="CR166" s="45"/>
      <c r="CS166" s="45"/>
      <c r="CT166" s="45"/>
      <c r="CU166" s="45"/>
      <c r="CV166" s="10"/>
      <c r="CX166" s="32"/>
      <c r="CZ166" s="64"/>
      <c r="DE166" s="32"/>
      <c r="DH166" s="836" t="s">
        <v>5530</v>
      </c>
      <c r="DI166" s="836" t="s">
        <v>5529</v>
      </c>
      <c r="DJ166" s="836"/>
      <c r="DK166" s="836" t="str">
        <f t="shared" si="24"/>
        <v>1080230B</v>
      </c>
      <c r="DL166" s="838" t="s">
        <v>5543</v>
      </c>
      <c r="DM166" s="838" t="s">
        <v>5544</v>
      </c>
      <c r="DN166" s="839">
        <f>IF(AS30="包括",1,4)</f>
        <v>1</v>
      </c>
      <c r="DX166" s="85"/>
      <c r="DY166" s="85"/>
    </row>
    <row r="167" spans="1:129" ht="19.5" customHeight="1" thickBot="1">
      <c r="A167" s="354"/>
      <c r="B167" s="181"/>
      <c r="C167" s="1767"/>
      <c r="D167" s="1768"/>
      <c r="E167" s="1768"/>
      <c r="F167" s="1768"/>
      <c r="G167" s="1768"/>
      <c r="H167" s="1768"/>
      <c r="I167" s="1768"/>
      <c r="J167" s="1769"/>
      <c r="K167" s="1774"/>
      <c r="L167" s="1775"/>
      <c r="M167" s="1775"/>
      <c r="N167" s="1775"/>
      <c r="O167" s="1775"/>
      <c r="P167" s="1776"/>
      <c r="Q167" s="1778" t="s">
        <v>5018</v>
      </c>
      <c r="R167" s="1778"/>
      <c r="S167" s="1778"/>
      <c r="T167" s="1778"/>
      <c r="U167" s="1778"/>
      <c r="V167" s="1778"/>
      <c r="W167" s="1778"/>
      <c r="X167" s="1778"/>
      <c r="Y167" s="1760" t="s">
        <v>5026</v>
      </c>
      <c r="Z167" s="1760"/>
      <c r="AA167" s="1760"/>
      <c r="AB167" s="1760"/>
      <c r="AC167" s="1760" t="s">
        <v>5027</v>
      </c>
      <c r="AD167" s="1760"/>
      <c r="AE167" s="1760"/>
      <c r="AF167" s="1760"/>
      <c r="AG167" s="939"/>
      <c r="AH167" s="940"/>
      <c r="AI167" s="940"/>
      <c r="AJ167" s="940"/>
      <c r="AK167" s="940"/>
      <c r="AL167" s="940"/>
      <c r="AM167" s="940"/>
      <c r="AN167" s="940"/>
      <c r="AO167" s="940"/>
      <c r="AP167" s="940"/>
      <c r="AQ167" s="940"/>
      <c r="AR167" s="940"/>
      <c r="AS167" s="940"/>
      <c r="AT167" s="941"/>
      <c r="AU167" s="171"/>
      <c r="BZ167" s="11"/>
      <c r="CA167" s="89"/>
      <c r="CB167" s="152"/>
      <c r="CC167" s="4"/>
      <c r="CD167" s="108"/>
      <c r="CE167" s="108"/>
      <c r="CF167" s="108"/>
      <c r="CH167" s="49" t="s">
        <v>39</v>
      </c>
      <c r="CI167" s="49"/>
      <c r="CJ167" s="49"/>
      <c r="CK167" s="49"/>
      <c r="CL167" s="49"/>
      <c r="CM167" s="49"/>
      <c r="CN167" s="49"/>
      <c r="CO167" s="83" t="s">
        <v>38</v>
      </c>
      <c r="CP167" s="84"/>
      <c r="CQ167" s="2"/>
      <c r="CR167" s="45"/>
      <c r="CS167" s="45"/>
      <c r="CT167" s="45"/>
      <c r="CU167" s="45"/>
      <c r="CV167" s="10"/>
      <c r="CX167" s="32"/>
      <c r="CZ167" s="64"/>
      <c r="DE167" s="32"/>
      <c r="DH167" s="836" t="s">
        <v>5531</v>
      </c>
      <c r="DI167" s="836" t="s">
        <v>5529</v>
      </c>
      <c r="DJ167" s="836"/>
      <c r="DK167" s="836" t="str">
        <f t="shared" si="24"/>
        <v>11003326</v>
      </c>
      <c r="DL167" s="838" t="s">
        <v>5545</v>
      </c>
      <c r="DM167" s="838" t="s">
        <v>5546</v>
      </c>
      <c r="DN167" s="839">
        <f>IF(AS33="包括",1,4)</f>
        <v>1</v>
      </c>
      <c r="DX167" s="85"/>
      <c r="DY167" s="85"/>
    </row>
    <row r="168" spans="1:129" ht="19.5" customHeight="1" thickTop="1">
      <c r="A168" s="111"/>
      <c r="B168" s="181"/>
      <c r="C168" s="134"/>
      <c r="D168" s="134"/>
      <c r="E168" s="134"/>
      <c r="F168" s="134"/>
      <c r="G168" s="134"/>
      <c r="H168" s="134"/>
      <c r="I168" s="134"/>
      <c r="J168" s="134"/>
      <c r="K168" s="134"/>
      <c r="L168" s="155"/>
      <c r="M168" s="155"/>
      <c r="N168" s="155"/>
      <c r="O168" s="185"/>
      <c r="P168" s="185"/>
      <c r="Q168" s="156"/>
      <c r="R168" s="156"/>
      <c r="S168" s="156"/>
      <c r="T168" s="156"/>
      <c r="U168" s="156"/>
      <c r="V168" s="156"/>
      <c r="W168" s="156"/>
      <c r="X168" s="156"/>
      <c r="Y168" s="157"/>
      <c r="Z168" s="157"/>
      <c r="AA168" s="157"/>
      <c r="AB168" s="157"/>
      <c r="AC168" s="157"/>
      <c r="AD168" s="157"/>
      <c r="AE168" s="157"/>
      <c r="AF168" s="157"/>
      <c r="AG168" s="156"/>
      <c r="AH168" s="156"/>
      <c r="AI168" s="156"/>
      <c r="AJ168" s="156"/>
      <c r="AK168" s="184"/>
      <c r="AL168" s="184"/>
      <c r="AM168" s="158"/>
      <c r="AN168" s="158"/>
      <c r="AO168" s="184"/>
      <c r="AP168" s="184"/>
      <c r="AQ168" s="184"/>
      <c r="AR168" s="184"/>
      <c r="AS168" s="184"/>
      <c r="AT168" s="184"/>
      <c r="AU168" s="171"/>
      <c r="BZ168" s="2"/>
      <c r="CA168" s="89"/>
      <c r="CB168" s="152"/>
      <c r="CC168" s="4"/>
      <c r="CD168" s="108"/>
      <c r="CE168" s="108"/>
      <c r="CF168" s="108"/>
      <c r="CH168" s="49" t="s">
        <v>37</v>
      </c>
      <c r="CI168" s="49"/>
      <c r="CJ168" s="49"/>
      <c r="CK168" s="49"/>
      <c r="CL168" s="49"/>
      <c r="CM168" s="49"/>
      <c r="CN168" s="49"/>
      <c r="CO168" s="83" t="s">
        <v>36</v>
      </c>
      <c r="CP168" s="84"/>
      <c r="CQ168" s="2"/>
      <c r="CR168" s="45"/>
      <c r="CS168" s="45"/>
      <c r="CT168" s="45"/>
      <c r="CU168" s="45"/>
      <c r="CV168" s="10"/>
      <c r="DE168" s="32"/>
      <c r="DH168" s="836" t="s">
        <v>5532</v>
      </c>
      <c r="DI168" s="836" t="s">
        <v>5529</v>
      </c>
      <c r="DJ168" s="836"/>
      <c r="DK168" s="836" t="str">
        <f t="shared" si="24"/>
        <v>11102334</v>
      </c>
      <c r="DL168" s="838" t="s">
        <v>5547</v>
      </c>
      <c r="DM168" s="838" t="s">
        <v>5548</v>
      </c>
      <c r="DN168" s="839">
        <f>IF(AS34="包括",1,4)</f>
        <v>1</v>
      </c>
      <c r="DX168" s="85"/>
      <c r="DY168" s="85"/>
    </row>
    <row r="169" spans="1:129" ht="19.5" hidden="1" customHeight="1">
      <c r="A169" s="354" t="s">
        <v>1234</v>
      </c>
      <c r="B169" s="181"/>
      <c r="C169" s="134"/>
      <c r="D169" s="134"/>
      <c r="E169" s="134"/>
      <c r="F169" s="134"/>
      <c r="G169" s="134"/>
      <c r="H169" s="134"/>
      <c r="I169" s="134"/>
      <c r="J169" s="134"/>
      <c r="K169" s="134"/>
      <c r="L169" s="155"/>
      <c r="M169" s="155"/>
      <c r="N169" s="155"/>
      <c r="O169" s="185"/>
      <c r="P169" s="185"/>
      <c r="Q169" s="156"/>
      <c r="R169" s="156"/>
      <c r="S169" s="156"/>
      <c r="T169" s="156"/>
      <c r="U169" s="156"/>
      <c r="V169" s="156"/>
      <c r="W169" s="156"/>
      <c r="X169" s="156"/>
      <c r="Y169" s="157"/>
      <c r="Z169" s="157"/>
      <c r="AA169" s="157"/>
      <c r="AB169" s="157"/>
      <c r="AC169" s="157"/>
      <c r="AD169" s="157"/>
      <c r="AE169" s="157"/>
      <c r="AF169" s="157"/>
      <c r="AG169" s="156"/>
      <c r="AH169" s="156"/>
      <c r="AI169" s="156"/>
      <c r="AJ169" s="156"/>
      <c r="AK169" s="184"/>
      <c r="AL169" s="184"/>
      <c r="AM169" s="158"/>
      <c r="AN169" s="158"/>
      <c r="AO169" s="184"/>
      <c r="AP169" s="184"/>
      <c r="AQ169" s="184"/>
      <c r="AR169" s="184"/>
      <c r="AS169" s="184"/>
      <c r="AT169" s="184"/>
      <c r="AU169" s="171"/>
      <c r="BZ169" s="11"/>
      <c r="CA169" s="89"/>
      <c r="CB169" s="152"/>
      <c r="CC169" s="4"/>
      <c r="CD169" s="108"/>
      <c r="CE169" s="108"/>
      <c r="CF169" s="108"/>
      <c r="CH169" s="49" t="s">
        <v>35</v>
      </c>
      <c r="CI169" s="49"/>
      <c r="CJ169" s="49"/>
      <c r="CK169" s="49"/>
      <c r="CL169" s="49"/>
      <c r="CM169" s="49"/>
      <c r="CN169" s="49"/>
      <c r="CO169" s="83" t="s">
        <v>34</v>
      </c>
      <c r="CP169" s="84"/>
      <c r="CQ169" s="2"/>
      <c r="CR169" s="45"/>
      <c r="CS169" s="45"/>
      <c r="CT169" s="45"/>
      <c r="CU169" s="45"/>
      <c r="CV169" s="10"/>
      <c r="DE169" s="32"/>
      <c r="DH169" s="836" t="s">
        <v>5532</v>
      </c>
      <c r="DI169" s="836" t="s">
        <v>5533</v>
      </c>
      <c r="DJ169" s="836"/>
      <c r="DK169" s="836" t="str">
        <f t="shared" si="24"/>
        <v>11102335</v>
      </c>
      <c r="DL169" s="838" t="s">
        <v>5547</v>
      </c>
      <c r="DM169" s="838" t="s">
        <v>5549</v>
      </c>
      <c r="DN169" s="839" t="str">
        <f>IF(VALUE(DN168)=1,"012000613","")</f>
        <v>012000613</v>
      </c>
      <c r="DX169" s="85"/>
      <c r="DY169" s="85"/>
    </row>
    <row r="170" spans="1:129" ht="19.5" hidden="1" customHeight="1">
      <c r="A170" s="354" t="s">
        <v>1234</v>
      </c>
      <c r="B170" s="181"/>
      <c r="C170" s="134"/>
      <c r="D170" s="134"/>
      <c r="E170" s="134"/>
      <c r="F170" s="134"/>
      <c r="G170" s="134"/>
      <c r="H170" s="134"/>
      <c r="I170" s="134"/>
      <c r="J170" s="134"/>
      <c r="K170" s="134"/>
      <c r="L170" s="155"/>
      <c r="M170" s="155"/>
      <c r="N170" s="155"/>
      <c r="O170" s="185"/>
      <c r="P170" s="185"/>
      <c r="Q170" s="156"/>
      <c r="R170" s="156"/>
      <c r="S170" s="156"/>
      <c r="T170" s="156"/>
      <c r="U170" s="156"/>
      <c r="V170" s="156"/>
      <c r="W170" s="156"/>
      <c r="X170" s="156"/>
      <c r="Y170" s="157"/>
      <c r="Z170" s="157"/>
      <c r="AA170" s="157"/>
      <c r="AB170" s="157"/>
      <c r="AC170" s="157"/>
      <c r="AD170" s="157"/>
      <c r="AE170" s="157"/>
      <c r="AF170" s="157"/>
      <c r="AG170" s="156"/>
      <c r="AH170" s="156"/>
      <c r="AI170" s="156"/>
      <c r="AJ170" s="156"/>
      <c r="AK170" s="184"/>
      <c r="AL170" s="184"/>
      <c r="AM170" s="158"/>
      <c r="AN170" s="158"/>
      <c r="AO170" s="184"/>
      <c r="AP170" s="184"/>
      <c r="AQ170" s="184"/>
      <c r="AR170" s="184"/>
      <c r="AS170" s="184"/>
      <c r="AT170" s="184"/>
      <c r="AU170" s="171"/>
      <c r="BZ170" s="2"/>
      <c r="CA170" s="89"/>
      <c r="CB170" s="152"/>
      <c r="CC170" s="4"/>
      <c r="CD170" s="108"/>
      <c r="CE170" s="108"/>
      <c r="CF170" s="108"/>
      <c r="CH170" s="49" t="s">
        <v>640</v>
      </c>
      <c r="CI170" s="49"/>
      <c r="CJ170" s="49"/>
      <c r="CK170" s="49"/>
      <c r="CL170" s="49"/>
      <c r="CM170" s="49"/>
      <c r="CN170" s="49"/>
      <c r="CO170" s="83" t="s">
        <v>33</v>
      </c>
      <c r="CP170" s="84"/>
      <c r="CQ170" s="2"/>
      <c r="CR170" s="45"/>
      <c r="CS170" s="45"/>
      <c r="CT170" s="45"/>
      <c r="CU170" s="45"/>
      <c r="CV170" s="10"/>
      <c r="DE170" s="32"/>
      <c r="DH170" s="836" t="s">
        <v>5514</v>
      </c>
      <c r="DI170" s="836" t="s">
        <v>897</v>
      </c>
      <c r="DJ170" s="836"/>
      <c r="DK170" s="836" t="str">
        <f t="shared" si="24"/>
        <v>106272YC</v>
      </c>
      <c r="DL170" s="838" t="s">
        <v>5552</v>
      </c>
      <c r="DM170" s="838" t="s">
        <v>919</v>
      </c>
      <c r="DN170" s="839">
        <f>DN12</f>
        <v>0</v>
      </c>
      <c r="DX170" s="85"/>
      <c r="DY170" s="85"/>
    </row>
    <row r="171" spans="1:129" ht="19.5" hidden="1" customHeight="1">
      <c r="A171" s="354" t="s">
        <v>1234</v>
      </c>
      <c r="B171" s="181"/>
      <c r="C171" s="134"/>
      <c r="D171" s="134"/>
      <c r="E171" s="134"/>
      <c r="F171" s="134"/>
      <c r="G171" s="134"/>
      <c r="H171" s="134"/>
      <c r="I171" s="134"/>
      <c r="J171" s="134"/>
      <c r="K171" s="134"/>
      <c r="L171" s="155"/>
      <c r="M171" s="155"/>
      <c r="N171" s="155"/>
      <c r="O171" s="185"/>
      <c r="P171" s="185"/>
      <c r="Q171" s="156"/>
      <c r="R171" s="156"/>
      <c r="S171" s="156"/>
      <c r="T171" s="156"/>
      <c r="U171" s="156"/>
      <c r="V171" s="156"/>
      <c r="W171" s="156"/>
      <c r="X171" s="156"/>
      <c r="Y171" s="157"/>
      <c r="Z171" s="157"/>
      <c r="AA171" s="157"/>
      <c r="AB171" s="157"/>
      <c r="AC171" s="157"/>
      <c r="AD171" s="157"/>
      <c r="AE171" s="157"/>
      <c r="AF171" s="157"/>
      <c r="AG171" s="156"/>
      <c r="AH171" s="156"/>
      <c r="AI171" s="156"/>
      <c r="AJ171" s="156"/>
      <c r="AK171" s="184"/>
      <c r="AL171" s="184"/>
      <c r="AM171" s="158"/>
      <c r="AN171" s="158"/>
      <c r="AO171" s="184"/>
      <c r="AP171" s="184"/>
      <c r="AQ171" s="184"/>
      <c r="AR171" s="184"/>
      <c r="AS171" s="184"/>
      <c r="AT171" s="184"/>
      <c r="AU171" s="171"/>
      <c r="BZ171" s="2"/>
      <c r="CA171" s="89"/>
      <c r="CB171" s="152"/>
      <c r="CC171" s="4"/>
      <c r="CD171" s="108"/>
      <c r="CE171" s="108"/>
      <c r="CF171" s="108"/>
      <c r="CH171" s="49" t="s">
        <v>32</v>
      </c>
      <c r="CI171" s="49"/>
      <c r="CJ171" s="49"/>
      <c r="CK171" s="49"/>
      <c r="CL171" s="49"/>
      <c r="CM171" s="49"/>
      <c r="CN171" s="49"/>
      <c r="CO171" s="83" t="s">
        <v>31</v>
      </c>
      <c r="CP171" s="84"/>
      <c r="CQ171" s="2"/>
      <c r="CR171" s="45"/>
      <c r="CS171" s="45"/>
      <c r="CT171" s="45"/>
      <c r="CU171" s="45"/>
      <c r="CV171" s="10"/>
      <c r="DE171" s="32"/>
      <c r="DH171" s="836" t="s">
        <v>5514</v>
      </c>
      <c r="DI171" s="836" t="s">
        <v>898</v>
      </c>
      <c r="DJ171" s="836"/>
      <c r="DK171" s="836" t="str">
        <f t="shared" si="24"/>
        <v>106272YD</v>
      </c>
      <c r="DL171" s="838" t="s">
        <v>5552</v>
      </c>
      <c r="DM171" s="838" t="s">
        <v>920</v>
      </c>
      <c r="DN171" s="839">
        <f>DN13</f>
        <v>0</v>
      </c>
      <c r="DX171" s="85"/>
      <c r="DY171" s="85"/>
    </row>
    <row r="172" spans="1:129" ht="19.5" customHeight="1">
      <c r="B172" s="181"/>
      <c r="C172" s="134"/>
      <c r="D172" s="134"/>
      <c r="E172" s="134"/>
      <c r="F172" s="134"/>
      <c r="G172" s="134"/>
      <c r="H172" s="134"/>
      <c r="I172" s="134"/>
      <c r="J172" s="134"/>
      <c r="K172" s="134"/>
      <c r="L172" s="155"/>
      <c r="M172" s="155"/>
      <c r="N172" s="155"/>
      <c r="O172" s="185"/>
      <c r="P172" s="185"/>
      <c r="Q172" s="156"/>
      <c r="R172" s="156"/>
      <c r="S172" s="156"/>
      <c r="T172" s="156"/>
      <c r="U172" s="156"/>
      <c r="V172" s="156"/>
      <c r="W172" s="156"/>
      <c r="X172" s="156"/>
      <c r="Y172" s="157"/>
      <c r="Z172" s="157"/>
      <c r="AA172" s="157"/>
      <c r="AB172" s="157"/>
      <c r="AC172" s="157"/>
      <c r="AD172" s="157"/>
      <c r="AE172" s="157"/>
      <c r="AF172" s="157"/>
      <c r="AG172" s="156"/>
      <c r="AH172" s="156"/>
      <c r="AI172" s="156"/>
      <c r="AJ172" s="156"/>
      <c r="AK172" s="184"/>
      <c r="AL172" s="184"/>
      <c r="AM172" s="158"/>
      <c r="AN172" s="158"/>
      <c r="AO172" s="184"/>
      <c r="AP172" s="184"/>
      <c r="AQ172" s="184"/>
      <c r="AR172" s="184"/>
      <c r="AS172" s="184"/>
      <c r="AT172" s="184"/>
      <c r="AU172" s="171"/>
      <c r="BZ172" s="2"/>
      <c r="CA172" s="89"/>
      <c r="CB172" s="152"/>
      <c r="CC172" s="4"/>
      <c r="CD172" s="108"/>
      <c r="CE172" s="108"/>
      <c r="CF172" s="108"/>
      <c r="CH172" s="49" t="s">
        <v>30</v>
      </c>
      <c r="CI172" s="49"/>
      <c r="CJ172" s="49"/>
      <c r="CK172" s="49"/>
      <c r="CL172" s="49"/>
      <c r="CM172" s="49"/>
      <c r="CN172" s="49"/>
      <c r="CO172" s="83" t="s">
        <v>29</v>
      </c>
      <c r="CP172" s="84"/>
      <c r="CQ172" s="2"/>
      <c r="CR172" s="45"/>
      <c r="CS172" s="45"/>
      <c r="CT172" s="45"/>
      <c r="CU172" s="45"/>
      <c r="CV172" s="10"/>
      <c r="DE172" s="32"/>
      <c r="DH172" s="836" t="s">
        <v>5514</v>
      </c>
      <c r="DI172" s="836" t="s">
        <v>899</v>
      </c>
      <c r="DJ172" s="836"/>
      <c r="DK172" s="836" t="str">
        <f t="shared" si="24"/>
        <v>106272YE</v>
      </c>
      <c r="DL172" s="838" t="s">
        <v>5552</v>
      </c>
      <c r="DM172" s="838" t="s">
        <v>921</v>
      </c>
      <c r="DN172" s="839">
        <f>DN14</f>
        <v>0</v>
      </c>
      <c r="DX172" s="85"/>
      <c r="DY172" s="85"/>
    </row>
    <row r="173" spans="1:129" ht="19.5" customHeight="1" thickBot="1">
      <c r="B173" s="181"/>
      <c r="C173" s="134"/>
      <c r="D173" s="134"/>
      <c r="E173" s="134"/>
      <c r="F173" s="134"/>
      <c r="G173" s="134"/>
      <c r="H173" s="134"/>
      <c r="I173" s="134"/>
      <c r="J173" s="134"/>
      <c r="K173" s="134"/>
      <c r="L173" s="155"/>
      <c r="M173" s="155"/>
      <c r="N173" s="155"/>
      <c r="O173" s="185"/>
      <c r="P173" s="185"/>
      <c r="Q173" s="156"/>
      <c r="R173" s="156"/>
      <c r="S173" s="156"/>
      <c r="T173" s="156"/>
      <c r="U173" s="156"/>
      <c r="V173" s="156"/>
      <c r="W173" s="156"/>
      <c r="X173" s="156"/>
      <c r="Y173" s="157"/>
      <c r="Z173" s="157"/>
      <c r="AA173" s="157"/>
      <c r="AB173" s="157"/>
      <c r="AC173" s="157"/>
      <c r="AD173" s="157"/>
      <c r="AE173" s="157"/>
      <c r="AF173" s="157"/>
      <c r="AG173" s="156"/>
      <c r="AH173" s="156"/>
      <c r="AI173" s="156"/>
      <c r="AJ173" s="156"/>
      <c r="AK173" s="184"/>
      <c r="AL173" s="184"/>
      <c r="AM173" s="158"/>
      <c r="AN173" s="158"/>
      <c r="AO173" s="184"/>
      <c r="AP173" s="184"/>
      <c r="AQ173" s="184"/>
      <c r="AR173" s="184"/>
      <c r="AS173" s="184"/>
      <c r="AT173" s="184"/>
      <c r="AU173" s="171"/>
      <c r="BZ173" s="2"/>
      <c r="CA173" s="89"/>
      <c r="CB173" s="152"/>
      <c r="CC173" s="4"/>
      <c r="CD173" s="108"/>
      <c r="CE173" s="108"/>
      <c r="CF173" s="108"/>
      <c r="CH173" s="49" t="s">
        <v>28</v>
      </c>
      <c r="CI173" s="49"/>
      <c r="CJ173" s="49"/>
      <c r="CK173" s="49"/>
      <c r="CL173" s="49"/>
      <c r="CM173" s="49"/>
      <c r="CN173" s="49"/>
      <c r="CO173" s="83" t="s">
        <v>551</v>
      </c>
      <c r="CP173" s="84"/>
      <c r="CQ173" s="2"/>
      <c r="CR173" s="45"/>
      <c r="CS173" s="45"/>
      <c r="CT173" s="45"/>
      <c r="CU173" s="45"/>
      <c r="CV173" s="10"/>
      <c r="DE173" s="32"/>
      <c r="DH173" s="836" t="s">
        <v>5514</v>
      </c>
      <c r="DI173" s="836" t="s">
        <v>174</v>
      </c>
      <c r="DJ173" s="836"/>
      <c r="DK173" s="836" t="str">
        <f t="shared" si="24"/>
        <v>106272YF</v>
      </c>
      <c r="DL173" s="838" t="s">
        <v>5552</v>
      </c>
      <c r="DM173" s="838" t="s">
        <v>922</v>
      </c>
      <c r="DN173" s="839">
        <f>DN15</f>
        <v>0</v>
      </c>
      <c r="DX173" s="85"/>
      <c r="DY173" s="85"/>
    </row>
    <row r="174" spans="1:129" ht="19.5" customHeight="1">
      <c r="B174" s="181"/>
      <c r="C174" s="1793" t="s">
        <v>5105</v>
      </c>
      <c r="D174" s="1794"/>
      <c r="E174" s="1794"/>
      <c r="F174" s="1794"/>
      <c r="G174" s="1794"/>
      <c r="H174" s="1794"/>
      <c r="I174" s="1794"/>
      <c r="J174" s="1795"/>
      <c r="K174" s="2481" t="s">
        <v>5106</v>
      </c>
      <c r="L174" s="2481"/>
      <c r="M174" s="2481"/>
      <c r="N174" s="2481"/>
      <c r="O174" s="2481"/>
      <c r="P174" s="2481"/>
      <c r="Q174" s="2481"/>
      <c r="R174" s="2481"/>
      <c r="S174" s="2481"/>
      <c r="T174" s="2481"/>
      <c r="U174" s="2481"/>
      <c r="V174" s="2481"/>
      <c r="W174" s="2481"/>
      <c r="X174" s="2481"/>
      <c r="Y174" s="2481"/>
      <c r="Z174" s="2481"/>
      <c r="AA174" s="2481"/>
      <c r="AB174" s="2481"/>
      <c r="AC174" s="2481"/>
      <c r="AD174" s="2481"/>
      <c r="AE174" s="2481"/>
      <c r="AF174" s="2481"/>
      <c r="AG174" s="2481"/>
      <c r="AH174" s="2481"/>
      <c r="AI174" s="2481"/>
      <c r="AJ174" s="2481"/>
      <c r="AK174" s="2481"/>
      <c r="AL174" s="2481"/>
      <c r="AM174" s="2481"/>
      <c r="AN174" s="2481"/>
      <c r="AO174" s="2481"/>
      <c r="AP174" s="2481"/>
      <c r="AQ174" s="2481"/>
      <c r="AR174" s="2481"/>
      <c r="AS174" s="2481"/>
      <c r="AT174" s="2482"/>
      <c r="AU174" s="171"/>
      <c r="AV174" s="531">
        <f>【追加アプリ用記入シート】チェックシート!J4</f>
        <v>0</v>
      </c>
      <c r="AW174" s="499" t="s">
        <v>5125</v>
      </c>
      <c r="BA174" s="20"/>
      <c r="BB174" s="20"/>
      <c r="BC174" s="20"/>
      <c r="BD174" s="20"/>
      <c r="BE174" s="20"/>
      <c r="BF174" s="20"/>
      <c r="BG174" s="20"/>
      <c r="BH174" s="20"/>
      <c r="BI174" s="20"/>
      <c r="BZ174" s="2"/>
      <c r="CA174" s="89"/>
      <c r="CB174" s="152"/>
      <c r="CD174" s="108"/>
      <c r="CE174" s="108"/>
      <c r="CF174" s="108"/>
      <c r="CH174" s="49" t="s">
        <v>27</v>
      </c>
      <c r="CI174" s="49"/>
      <c r="CJ174" s="49"/>
      <c r="CK174" s="49"/>
      <c r="CL174" s="49"/>
      <c r="CM174" s="49"/>
      <c r="CN174" s="49"/>
      <c r="CO174" s="83" t="s">
        <v>552</v>
      </c>
      <c r="CP174" s="84"/>
      <c r="CQ174" s="2"/>
      <c r="CR174" s="45"/>
      <c r="CS174" s="45"/>
      <c r="CT174" s="45"/>
      <c r="CU174" s="45"/>
      <c r="CV174" s="10"/>
      <c r="DE174" s="32"/>
      <c r="DH174" s="836" t="s">
        <v>5514</v>
      </c>
      <c r="DI174" s="836" t="s">
        <v>5077</v>
      </c>
      <c r="DJ174" s="836"/>
      <c r="DK174" s="836" t="str">
        <f t="shared" ref="DK174:DK194" si="30">DL174&amp;DM174</f>
        <v>10627UR8</v>
      </c>
      <c r="DL174" s="838" t="s">
        <v>5552</v>
      </c>
      <c r="DM174" s="838" t="s">
        <v>5069</v>
      </c>
      <c r="DN174" s="839" t="str">
        <f>DN145</f>
        <v>00</v>
      </c>
      <c r="DX174" s="85"/>
      <c r="DY174" s="85"/>
    </row>
    <row r="175" spans="1:129" ht="19.5" customHeight="1">
      <c r="B175" s="181"/>
      <c r="C175" s="2480"/>
      <c r="D175" s="1513"/>
      <c r="E175" s="1513"/>
      <c r="F175" s="1513"/>
      <c r="G175" s="1513"/>
      <c r="H175" s="1513"/>
      <c r="I175" s="1513"/>
      <c r="J175" s="1514"/>
      <c r="K175" s="2483" t="s">
        <v>5107</v>
      </c>
      <c r="L175" s="2483"/>
      <c r="M175" s="2483"/>
      <c r="N175" s="2483"/>
      <c r="O175" s="2483"/>
      <c r="P175" s="2483"/>
      <c r="Q175" s="2483"/>
      <c r="R175" s="2483"/>
      <c r="S175" s="2483"/>
      <c r="T175" s="2483"/>
      <c r="U175" s="2483"/>
      <c r="V175" s="2483"/>
      <c r="W175" s="2483"/>
      <c r="X175" s="2483"/>
      <c r="Y175" s="2483"/>
      <c r="Z175" s="2483"/>
      <c r="AA175" s="2483"/>
      <c r="AB175" s="2483"/>
      <c r="AC175" s="2483"/>
      <c r="AD175" s="2483"/>
      <c r="AE175" s="2483"/>
      <c r="AF175" s="2483"/>
      <c r="AG175" s="2483"/>
      <c r="AH175" s="2483"/>
      <c r="AI175" s="2483"/>
      <c r="AJ175" s="2483"/>
      <c r="AK175" s="2483"/>
      <c r="AL175" s="2483"/>
      <c r="AM175" s="2483"/>
      <c r="AN175" s="2483"/>
      <c r="AO175" s="2483"/>
      <c r="AP175" s="2483"/>
      <c r="AQ175" s="2483"/>
      <c r="AR175" s="2483"/>
      <c r="AS175" s="2483"/>
      <c r="AT175" s="2484"/>
      <c r="AU175" s="171"/>
      <c r="AV175" s="151" t="b">
        <v>0</v>
      </c>
      <c r="AX175" s="114" t="s">
        <v>2078</v>
      </c>
      <c r="AY175" s="114" t="s">
        <v>2275</v>
      </c>
      <c r="AZ175" s="114" t="s">
        <v>2276</v>
      </c>
      <c r="BA175" s="115" t="s">
        <v>2277</v>
      </c>
      <c r="BB175" s="115" t="s">
        <v>2278</v>
      </c>
      <c r="BC175" s="115" t="s">
        <v>2279</v>
      </c>
      <c r="BD175" s="115" t="s">
        <v>2280</v>
      </c>
      <c r="BE175" s="115" t="s">
        <v>2281</v>
      </c>
      <c r="BF175" s="115" t="s">
        <v>2282</v>
      </c>
      <c r="BG175" s="115" t="s">
        <v>2283</v>
      </c>
      <c r="BH175" s="115"/>
      <c r="BI175" s="115"/>
      <c r="BZ175" s="2"/>
      <c r="CA175" s="89"/>
      <c r="CB175" s="152"/>
      <c r="CD175" s="108"/>
      <c r="CE175" s="108"/>
      <c r="CF175" s="108"/>
      <c r="CH175" s="49" t="s">
        <v>26</v>
      </c>
      <c r="CI175" s="49"/>
      <c r="CJ175" s="49"/>
      <c r="CK175" s="49"/>
      <c r="CL175" s="49"/>
      <c r="CM175" s="49"/>
      <c r="CN175" s="49"/>
      <c r="CO175" s="83" t="s">
        <v>553</v>
      </c>
      <c r="CP175" s="84"/>
      <c r="CQ175" s="2"/>
      <c r="CR175" s="45"/>
      <c r="CS175" s="45"/>
      <c r="CT175" s="45"/>
      <c r="CU175" s="45"/>
      <c r="CV175" s="10"/>
      <c r="DE175" s="32"/>
      <c r="DH175" s="836" t="s">
        <v>5514</v>
      </c>
      <c r="DI175" s="836" t="s">
        <v>5078</v>
      </c>
      <c r="DJ175" s="836"/>
      <c r="DK175" s="836" t="str">
        <f t="shared" si="30"/>
        <v>10627UR9</v>
      </c>
      <c r="DL175" s="838" t="s">
        <v>5552</v>
      </c>
      <c r="DM175" s="838" t="s">
        <v>5071</v>
      </c>
      <c r="DN175" s="839" t="str">
        <f>DN146</f>
        <v>00</v>
      </c>
      <c r="DX175" s="85"/>
      <c r="DY175" s="85"/>
    </row>
    <row r="176" spans="1:129" ht="19.5" customHeight="1" thickBot="1">
      <c r="B176" s="181"/>
      <c r="C176" s="996"/>
      <c r="D176" s="997"/>
      <c r="E176" s="997"/>
      <c r="F176" s="997"/>
      <c r="G176" s="997"/>
      <c r="H176" s="997"/>
      <c r="I176" s="997"/>
      <c r="J176" s="998"/>
      <c r="K176" s="1758" t="s">
        <v>5108</v>
      </c>
      <c r="L176" s="1758"/>
      <c r="M176" s="1758"/>
      <c r="N176" s="1758"/>
      <c r="O176" s="1758"/>
      <c r="P176" s="1758"/>
      <c r="Q176" s="1758"/>
      <c r="R176" s="1758"/>
      <c r="S176" s="1758"/>
      <c r="T176" s="1758"/>
      <c r="U176" s="1758"/>
      <c r="V176" s="1758"/>
      <c r="W176" s="1758"/>
      <c r="X176" s="1758"/>
      <c r="Y176" s="1758"/>
      <c r="Z176" s="1758"/>
      <c r="AA176" s="1758"/>
      <c r="AB176" s="1758"/>
      <c r="AC176" s="1758"/>
      <c r="AD176" s="1758"/>
      <c r="AE176" s="1758"/>
      <c r="AF176" s="1758"/>
      <c r="AG176" s="1758"/>
      <c r="AH176" s="1758"/>
      <c r="AI176" s="1758"/>
      <c r="AJ176" s="1758"/>
      <c r="AK176" s="1758"/>
      <c r="AL176" s="1758"/>
      <c r="AM176" s="1758"/>
      <c r="AN176" s="1758"/>
      <c r="AO176" s="1758"/>
      <c r="AP176" s="1758"/>
      <c r="AQ176" s="1758"/>
      <c r="AR176" s="1758"/>
      <c r="AS176" s="1758"/>
      <c r="AT176" s="1759"/>
      <c r="AU176" s="171"/>
      <c r="AX176" s="539" t="s">
        <v>2072</v>
      </c>
      <c r="AY176" s="638" t="s">
        <v>2284</v>
      </c>
      <c r="AZ176" s="638" t="s">
        <v>2283</v>
      </c>
      <c r="BA176" s="639" t="s">
        <v>2285</v>
      </c>
      <c r="BB176" s="639" t="s">
        <v>2286</v>
      </c>
      <c r="BC176" s="638" t="s">
        <v>2287</v>
      </c>
      <c r="BD176" s="639" t="s">
        <v>2276</v>
      </c>
      <c r="BE176" s="540" t="s">
        <v>2281</v>
      </c>
      <c r="BF176" s="639" t="s">
        <v>2288</v>
      </c>
      <c r="BG176" s="638" t="s">
        <v>2289</v>
      </c>
      <c r="BH176" s="541" t="s">
        <v>2290</v>
      </c>
      <c r="BI176" s="541" t="s">
        <v>2291</v>
      </c>
      <c r="BZ176" s="2"/>
      <c r="CA176" s="89"/>
      <c r="CB176" s="152"/>
      <c r="CD176" s="108"/>
      <c r="CE176" s="108"/>
      <c r="CF176" s="108"/>
      <c r="CH176" s="49" t="s">
        <v>25</v>
      </c>
      <c r="CI176" s="49"/>
      <c r="CJ176" s="49"/>
      <c r="CK176" s="49"/>
      <c r="CL176" s="49"/>
      <c r="CM176" s="49"/>
      <c r="CN176" s="49"/>
      <c r="CO176" s="83" t="s">
        <v>554</v>
      </c>
      <c r="CP176" s="84"/>
      <c r="CQ176" s="2"/>
      <c r="CR176" s="45"/>
      <c r="CS176" s="45"/>
      <c r="CT176" s="45"/>
      <c r="CU176" s="45"/>
      <c r="CV176" s="10"/>
      <c r="DE176" s="32"/>
      <c r="DH176" s="836" t="s">
        <v>5514</v>
      </c>
      <c r="DI176" s="836" t="s">
        <v>5079</v>
      </c>
      <c r="DJ176" s="836"/>
      <c r="DK176" s="836" t="str">
        <f t="shared" si="30"/>
        <v>10627URA</v>
      </c>
      <c r="DL176" s="838" t="s">
        <v>5552</v>
      </c>
      <c r="DM176" s="838" t="s">
        <v>5073</v>
      </c>
      <c r="DN176" s="839" t="str">
        <f>DN147</f>
        <v>0000000</v>
      </c>
      <c r="DX176" s="85"/>
      <c r="DY176" s="85"/>
    </row>
    <row r="177" spans="2:129" ht="19.5" customHeight="1">
      <c r="B177" s="181"/>
      <c r="C177" s="134"/>
      <c r="D177" s="134"/>
      <c r="E177" s="134"/>
      <c r="F177" s="134"/>
      <c r="G177" s="134"/>
      <c r="H177" s="134"/>
      <c r="I177" s="134"/>
      <c r="J177" s="134"/>
      <c r="K177" s="134"/>
      <c r="L177" s="155"/>
      <c r="M177" s="155"/>
      <c r="N177" s="155"/>
      <c r="O177" s="185"/>
      <c r="P177" s="185"/>
      <c r="Q177" s="156"/>
      <c r="R177" s="156"/>
      <c r="S177" s="156"/>
      <c r="T177" s="156"/>
      <c r="U177" s="156"/>
      <c r="V177" s="156"/>
      <c r="W177" s="156"/>
      <c r="X177" s="156"/>
      <c r="Y177" s="157"/>
      <c r="Z177" s="157"/>
      <c r="AA177" s="157"/>
      <c r="AB177" s="157"/>
      <c r="AC177" s="157"/>
      <c r="AD177" s="157"/>
      <c r="AE177" s="157"/>
      <c r="AF177" s="157"/>
      <c r="AG177" s="156"/>
      <c r="AH177" s="156"/>
      <c r="AI177" s="156"/>
      <c r="AJ177" s="156"/>
      <c r="AK177" s="184"/>
      <c r="AL177" s="184"/>
      <c r="AM177" s="158"/>
      <c r="AN177" s="158"/>
      <c r="AO177" s="184"/>
      <c r="AP177" s="184"/>
      <c r="AQ177" s="184"/>
      <c r="AR177" s="184"/>
      <c r="AS177" s="184"/>
      <c r="AT177" s="184"/>
      <c r="AU177" s="171"/>
      <c r="AX177" s="636" t="s">
        <v>2073</v>
      </c>
      <c r="AY177" s="636" t="s">
        <v>2073</v>
      </c>
      <c r="AZ177" s="636" t="s">
        <v>2073</v>
      </c>
      <c r="BA177" s="636" t="s">
        <v>2073</v>
      </c>
      <c r="BB177" s="636" t="s">
        <v>2073</v>
      </c>
      <c r="BC177" s="636" t="s">
        <v>2073</v>
      </c>
      <c r="BD177" s="543" t="s">
        <v>2073</v>
      </c>
      <c r="BE177" s="114" t="s">
        <v>2073</v>
      </c>
      <c r="BF177" s="636" t="s">
        <v>2073</v>
      </c>
      <c r="BG177" s="636" t="s">
        <v>2073</v>
      </c>
      <c r="BH177" s="543" t="s">
        <v>2073</v>
      </c>
      <c r="BI177" s="640" t="s">
        <v>2073</v>
      </c>
      <c r="BZ177" s="2"/>
      <c r="CA177" s="89"/>
      <c r="CB177" s="152"/>
      <c r="CD177" s="108"/>
      <c r="CE177" s="108"/>
      <c r="CF177" s="108"/>
      <c r="CH177" s="49" t="s">
        <v>641</v>
      </c>
      <c r="CI177" s="49"/>
      <c r="CJ177" s="49"/>
      <c r="CK177" s="49"/>
      <c r="CL177" s="49"/>
      <c r="CM177" s="49"/>
      <c r="CN177" s="49"/>
      <c r="CO177" s="83" t="s">
        <v>561</v>
      </c>
      <c r="CP177" s="84"/>
      <c r="CQ177" s="2"/>
      <c r="CR177" s="45"/>
      <c r="CS177" s="45"/>
      <c r="CT177" s="45"/>
      <c r="CU177" s="45"/>
      <c r="CV177" s="10"/>
      <c r="DE177" s="32"/>
      <c r="DH177" s="836" t="s">
        <v>5514</v>
      </c>
      <c r="DI177" s="836" t="s">
        <v>5080</v>
      </c>
      <c r="DJ177" s="836"/>
      <c r="DK177" s="836" t="str">
        <f t="shared" si="30"/>
        <v>10627URB</v>
      </c>
      <c r="DL177" s="838" t="s">
        <v>5552</v>
      </c>
      <c r="DM177" s="838" t="s">
        <v>5075</v>
      </c>
      <c r="DN177" s="839" t="str">
        <f>DN148</f>
        <v>0000000</v>
      </c>
      <c r="DX177" s="85"/>
      <c r="DY177" s="85"/>
    </row>
    <row r="178" spans="2:129" ht="19.5" customHeight="1">
      <c r="B178" s="181"/>
      <c r="C178" s="134"/>
      <c r="D178" s="134"/>
      <c r="E178" s="134"/>
      <c r="F178" s="134"/>
      <c r="G178" s="134"/>
      <c r="H178" s="134"/>
      <c r="I178" s="134"/>
      <c r="J178" s="134"/>
      <c r="K178" s="134"/>
      <c r="L178" s="155"/>
      <c r="M178" s="155"/>
      <c r="N178" s="155"/>
      <c r="O178" s="185"/>
      <c r="P178" s="185"/>
      <c r="Q178" s="156"/>
      <c r="R178" s="156"/>
      <c r="S178" s="156"/>
      <c r="T178" s="156"/>
      <c r="U178" s="156"/>
      <c r="V178" s="156"/>
      <c r="W178" s="156"/>
      <c r="X178" s="156"/>
      <c r="Y178" s="157"/>
      <c r="Z178" s="157"/>
      <c r="AA178" s="157"/>
      <c r="AB178" s="157"/>
      <c r="AC178" s="157"/>
      <c r="AD178" s="157"/>
      <c r="AE178" s="157"/>
      <c r="AF178" s="157"/>
      <c r="AG178" s="156"/>
      <c r="AH178" s="156"/>
      <c r="AI178" s="156"/>
      <c r="AJ178" s="156"/>
      <c r="AK178" s="184"/>
      <c r="AL178" s="184"/>
      <c r="AM178" s="158"/>
      <c r="AN178" s="158"/>
      <c r="AO178" s="184"/>
      <c r="AP178" s="184"/>
      <c r="AQ178" s="184"/>
      <c r="AR178" s="184"/>
      <c r="AS178" s="184"/>
      <c r="AT178" s="184"/>
      <c r="AU178" s="171"/>
      <c r="AX178" s="544" t="s">
        <v>2265</v>
      </c>
      <c r="AY178" s="544" t="s">
        <v>2292</v>
      </c>
      <c r="AZ178" s="544" t="s">
        <v>2293</v>
      </c>
      <c r="BA178" s="546" t="s">
        <v>2294</v>
      </c>
      <c r="BB178" s="546" t="s">
        <v>2295</v>
      </c>
      <c r="BC178" s="546" t="s">
        <v>2296</v>
      </c>
      <c r="BD178" s="547" t="s">
        <v>2297</v>
      </c>
      <c r="BE178" s="115" t="s">
        <v>2298</v>
      </c>
      <c r="BF178" s="546" t="s">
        <v>2299</v>
      </c>
      <c r="BG178" s="546" t="s">
        <v>2300</v>
      </c>
      <c r="BH178" s="547" t="s">
        <v>2301</v>
      </c>
      <c r="BI178" s="115"/>
      <c r="BZ178" s="2"/>
      <c r="CA178" s="89"/>
      <c r="CB178" s="152"/>
      <c r="CD178" s="108"/>
      <c r="CE178" s="108"/>
      <c r="CF178" s="108"/>
      <c r="CH178" s="49" t="s">
        <v>580</v>
      </c>
      <c r="CI178" s="49"/>
      <c r="CJ178" s="49"/>
      <c r="CK178" s="49"/>
      <c r="CL178" s="49"/>
      <c r="CM178" s="49"/>
      <c r="CN178" s="49"/>
      <c r="CO178" s="83" t="s">
        <v>636</v>
      </c>
      <c r="CP178" s="84"/>
      <c r="CQ178" s="2"/>
      <c r="CR178" s="45"/>
      <c r="CS178" s="45"/>
      <c r="CT178" s="45"/>
      <c r="CU178" s="45"/>
      <c r="CV178" s="10"/>
      <c r="DE178" s="32"/>
      <c r="DH178" s="836" t="s">
        <v>5099</v>
      </c>
      <c r="DI178" s="836" t="s">
        <v>4409</v>
      </c>
      <c r="DJ178" s="836"/>
      <c r="DK178" s="836" t="str">
        <f t="shared" si="30"/>
        <v>94501Q91</v>
      </c>
      <c r="DL178" s="838" t="s">
        <v>5692</v>
      </c>
      <c r="DM178" s="838" t="s">
        <v>5693</v>
      </c>
      <c r="DN178" s="839" t="str">
        <f>IF(AS80="直接","4","1")</f>
        <v>1</v>
      </c>
      <c r="DX178" s="85"/>
      <c r="DY178" s="85"/>
    </row>
    <row r="179" spans="2:129" ht="19.5" customHeight="1">
      <c r="B179" s="181"/>
      <c r="C179" s="134"/>
      <c r="D179" s="134"/>
      <c r="E179" s="134"/>
      <c r="F179" s="134"/>
      <c r="G179" s="134"/>
      <c r="H179" s="134"/>
      <c r="I179" s="134"/>
      <c r="J179" s="134"/>
      <c r="K179" s="134"/>
      <c r="L179" s="155"/>
      <c r="M179" s="155"/>
      <c r="N179" s="155"/>
      <c r="O179" s="185"/>
      <c r="P179" s="185"/>
      <c r="Q179" s="156"/>
      <c r="R179" s="156"/>
      <c r="S179" s="156"/>
      <c r="T179" s="156"/>
      <c r="U179" s="156"/>
      <c r="V179" s="156"/>
      <c r="W179" s="156"/>
      <c r="X179" s="156"/>
      <c r="Y179" s="157"/>
      <c r="Z179" s="157"/>
      <c r="AA179" s="157"/>
      <c r="AB179" s="157"/>
      <c r="AC179" s="157"/>
      <c r="AD179" s="157"/>
      <c r="AE179" s="157"/>
      <c r="AF179" s="157"/>
      <c r="AG179" s="156"/>
      <c r="AH179" s="156"/>
      <c r="AI179" s="156"/>
      <c r="AJ179" s="156"/>
      <c r="AK179" s="184"/>
      <c r="AL179" s="184"/>
      <c r="AM179" s="158"/>
      <c r="AN179" s="158"/>
      <c r="AO179" s="184"/>
      <c r="AP179" s="184"/>
      <c r="AQ179" s="184"/>
      <c r="AR179" s="184"/>
      <c r="AS179" s="184"/>
      <c r="AT179" s="184"/>
      <c r="AU179" s="171"/>
      <c r="AX179" s="544" t="s">
        <v>2266</v>
      </c>
      <c r="AY179" s="544" t="s">
        <v>2302</v>
      </c>
      <c r="AZ179" s="544" t="s">
        <v>2303</v>
      </c>
      <c r="BA179" s="546" t="s">
        <v>2304</v>
      </c>
      <c r="BB179" s="546" t="s">
        <v>2305</v>
      </c>
      <c r="BC179" s="546" t="s">
        <v>2306</v>
      </c>
      <c r="BD179" s="547" t="s">
        <v>2307</v>
      </c>
      <c r="BE179" s="115" t="s">
        <v>2308</v>
      </c>
      <c r="BF179" s="546" t="s">
        <v>2309</v>
      </c>
      <c r="BG179" s="546" t="s">
        <v>2310</v>
      </c>
      <c r="BH179" s="547" t="s">
        <v>2311</v>
      </c>
      <c r="BI179" s="115"/>
      <c r="BZ179" s="2"/>
      <c r="CA179" s="89"/>
      <c r="CB179" s="152"/>
      <c r="CD179" s="108"/>
      <c r="CE179" s="108"/>
      <c r="CF179" s="108"/>
      <c r="CH179" s="1074" t="s">
        <v>5663</v>
      </c>
      <c r="CI179" s="1074"/>
      <c r="CJ179" s="1074"/>
      <c r="CK179" s="1074"/>
      <c r="CL179" s="1074"/>
      <c r="CM179" s="1074"/>
      <c r="CN179" s="1074"/>
      <c r="CO179" s="760" t="s">
        <v>5664</v>
      </c>
      <c r="CP179" s="760" t="str">
        <f>IF(記入シート1!AR97="","",記入シート1!AR97)</f>
        <v/>
      </c>
      <c r="CQ179" s="2"/>
      <c r="CR179" s="45"/>
      <c r="CS179" s="45"/>
      <c r="CT179" s="45"/>
      <c r="CU179" s="45"/>
      <c r="CV179" s="10"/>
      <c r="DE179" s="32"/>
      <c r="DH179" s="836" t="s">
        <v>5099</v>
      </c>
      <c r="DI179" s="836" t="s">
        <v>2173</v>
      </c>
      <c r="DJ179" s="836"/>
      <c r="DK179" s="836" t="str">
        <f t="shared" si="30"/>
        <v>94501Q93</v>
      </c>
      <c r="DL179" s="838" t="s">
        <v>5692</v>
      </c>
      <c r="DM179" s="838" t="s">
        <v>5694</v>
      </c>
      <c r="DN179" s="839" t="str">
        <f>T(記入シート1!I67)</f>
        <v/>
      </c>
      <c r="DX179" s="85"/>
      <c r="DY179" s="85"/>
    </row>
    <row r="180" spans="2:129" ht="19.5" customHeight="1" thickBot="1">
      <c r="B180" s="181"/>
      <c r="C180" s="134"/>
      <c r="D180" s="134"/>
      <c r="E180" s="134"/>
      <c r="F180" s="134"/>
      <c r="G180" s="134"/>
      <c r="H180" s="134"/>
      <c r="I180" s="134"/>
      <c r="J180" s="134"/>
      <c r="K180" s="134"/>
      <c r="L180" s="155"/>
      <c r="M180" s="155"/>
      <c r="N180" s="155"/>
      <c r="O180" s="185"/>
      <c r="P180" s="185"/>
      <c r="Q180" s="156"/>
      <c r="R180" s="156"/>
      <c r="S180" s="156"/>
      <c r="T180" s="156"/>
      <c r="U180" s="156"/>
      <c r="V180" s="156"/>
      <c r="W180" s="156"/>
      <c r="X180" s="156"/>
      <c r="Y180" s="157"/>
      <c r="Z180" s="157"/>
      <c r="AA180" s="157"/>
      <c r="AB180" s="157"/>
      <c r="AC180" s="157"/>
      <c r="AD180" s="157"/>
      <c r="AE180" s="157"/>
      <c r="AF180" s="157"/>
      <c r="AG180" s="156"/>
      <c r="AH180" s="156"/>
      <c r="AI180" s="156"/>
      <c r="AJ180" s="156"/>
      <c r="AK180" s="184"/>
      <c r="AL180" s="184"/>
      <c r="AM180" s="158"/>
      <c r="AN180" s="158"/>
      <c r="AO180" s="184"/>
      <c r="AP180" s="184"/>
      <c r="AQ180" s="184"/>
      <c r="AR180" s="184"/>
      <c r="AS180" s="184"/>
      <c r="AT180" s="184"/>
      <c r="AU180" s="171"/>
      <c r="AX180" s="544" t="s">
        <v>2267</v>
      </c>
      <c r="AY180" s="544" t="s">
        <v>2312</v>
      </c>
      <c r="AZ180" s="637" t="s">
        <v>2313</v>
      </c>
      <c r="BA180" s="546" t="s">
        <v>2314</v>
      </c>
      <c r="BB180" s="548" t="s">
        <v>2315</v>
      </c>
      <c r="BC180" s="546" t="s">
        <v>2316</v>
      </c>
      <c r="BD180" s="547" t="s">
        <v>2317</v>
      </c>
      <c r="BE180" s="641" t="s">
        <v>2318</v>
      </c>
      <c r="BF180" s="546" t="s">
        <v>2319</v>
      </c>
      <c r="BG180" s="546" t="s">
        <v>2320</v>
      </c>
      <c r="BH180" s="547" t="s">
        <v>2321</v>
      </c>
      <c r="BI180" s="115"/>
      <c r="BZ180" s="2"/>
      <c r="CA180" s="89"/>
      <c r="CB180" s="152"/>
      <c r="CD180" s="108"/>
      <c r="CE180" s="108"/>
      <c r="CF180" s="108"/>
      <c r="CH180" s="42"/>
      <c r="CI180" s="42"/>
      <c r="CJ180" s="42"/>
      <c r="CK180" s="42"/>
      <c r="CO180" s="2"/>
      <c r="CP180" s="43"/>
      <c r="CQ180" s="2"/>
      <c r="CR180" s="45"/>
      <c r="CS180" s="45"/>
      <c r="CT180" s="45"/>
      <c r="CU180" s="45"/>
      <c r="CV180" s="10"/>
      <c r="DE180" s="32"/>
      <c r="DH180" s="836" t="s">
        <v>5099</v>
      </c>
      <c r="DI180" s="836" t="s">
        <v>3238</v>
      </c>
      <c r="DJ180" s="836"/>
      <c r="DK180" s="836" t="str">
        <f t="shared" si="30"/>
        <v>94501Q94</v>
      </c>
      <c r="DL180" s="838" t="s">
        <v>5692</v>
      </c>
      <c r="DM180" s="838" t="s">
        <v>5695</v>
      </c>
      <c r="DN180" s="839" t="str">
        <f>T(記入シート1!I66)</f>
        <v/>
      </c>
      <c r="DX180" s="85"/>
      <c r="DY180" s="85"/>
    </row>
    <row r="181" spans="2:129" ht="19.5" customHeight="1">
      <c r="B181" s="181"/>
      <c r="C181" s="1210" t="s">
        <v>5809</v>
      </c>
      <c r="D181" s="1211"/>
      <c r="E181" s="1211"/>
      <c r="F181" s="1211"/>
      <c r="G181" s="1211"/>
      <c r="H181" s="1211"/>
      <c r="I181" s="1211"/>
      <c r="J181" s="1212"/>
      <c r="K181" s="2481" t="s">
        <v>5810</v>
      </c>
      <c r="L181" s="2481"/>
      <c r="M181" s="2481"/>
      <c r="N181" s="2481"/>
      <c r="O181" s="2481"/>
      <c r="P181" s="2481"/>
      <c r="Q181" s="2481"/>
      <c r="R181" s="2481"/>
      <c r="S181" s="2481"/>
      <c r="T181" s="2481"/>
      <c r="U181" s="2481"/>
      <c r="V181" s="2481"/>
      <c r="W181" s="2481"/>
      <c r="X181" s="2481"/>
      <c r="Y181" s="2481"/>
      <c r="Z181" s="2481"/>
      <c r="AA181" s="2481"/>
      <c r="AB181" s="2481"/>
      <c r="AC181" s="2481"/>
      <c r="AD181" s="2481"/>
      <c r="AE181" s="2481"/>
      <c r="AF181" s="2481"/>
      <c r="AG181" s="2481"/>
      <c r="AH181" s="2481"/>
      <c r="AI181" s="2481"/>
      <c r="AJ181" s="2481"/>
      <c r="AK181" s="2481"/>
      <c r="AL181" s="2481"/>
      <c r="AM181" s="2481"/>
      <c r="AN181" s="2481"/>
      <c r="AO181" s="2481"/>
      <c r="AP181" s="2481"/>
      <c r="AQ181" s="2481"/>
      <c r="AR181" s="2481"/>
      <c r="AS181" s="2481"/>
      <c r="AT181" s="2482"/>
      <c r="AU181" s="171"/>
      <c r="AX181" s="544" t="s">
        <v>2268</v>
      </c>
      <c r="AY181" s="544" t="s">
        <v>2322</v>
      </c>
      <c r="AZ181" s="114"/>
      <c r="BA181" s="546" t="s">
        <v>2323</v>
      </c>
      <c r="BB181" s="115"/>
      <c r="BC181" s="546" t="s">
        <v>2324</v>
      </c>
      <c r="BD181" s="547" t="s">
        <v>2325</v>
      </c>
      <c r="BE181" s="115"/>
      <c r="BF181" s="546" t="s">
        <v>2326</v>
      </c>
      <c r="BG181" s="548" t="s">
        <v>2327</v>
      </c>
      <c r="BH181" s="547" t="s">
        <v>2328</v>
      </c>
      <c r="BI181" s="115"/>
      <c r="BZ181" s="2"/>
      <c r="CA181" s="4"/>
      <c r="CB181" s="152"/>
      <c r="CD181" s="108"/>
      <c r="CE181" s="108"/>
      <c r="CF181" s="108"/>
      <c r="CH181" s="42"/>
      <c r="CI181" s="42"/>
      <c r="CJ181" s="42"/>
      <c r="CK181" s="42"/>
      <c r="CO181" s="2"/>
      <c r="CP181" s="43"/>
      <c r="CQ181" s="2"/>
      <c r="CR181" s="45"/>
      <c r="CS181" s="45"/>
      <c r="CT181" s="45"/>
      <c r="CU181" s="45"/>
      <c r="CV181" s="10"/>
      <c r="DE181" s="32"/>
      <c r="DH181" s="836" t="s">
        <v>5696</v>
      </c>
      <c r="DI181" s="836" t="s">
        <v>5697</v>
      </c>
      <c r="DJ181" s="836"/>
      <c r="DK181" s="836" t="str">
        <f t="shared" si="30"/>
        <v>10903314</v>
      </c>
      <c r="DL181" s="838" t="s">
        <v>5700</v>
      </c>
      <c r="DM181" s="838" t="s">
        <v>5701</v>
      </c>
      <c r="DN181" s="839" t="str">
        <f>IF(O32="タクシー","17","01")</f>
        <v>01</v>
      </c>
      <c r="DX181" s="85"/>
      <c r="DY181" s="85"/>
    </row>
    <row r="182" spans="2:129" ht="19.5" customHeight="1">
      <c r="B182" s="181"/>
      <c r="C182" s="1167"/>
      <c r="D182" s="1144"/>
      <c r="E182" s="1144"/>
      <c r="F182" s="1144"/>
      <c r="G182" s="1144"/>
      <c r="H182" s="1144"/>
      <c r="I182" s="1144"/>
      <c r="J182" s="1145"/>
      <c r="K182" s="2919" t="s">
        <v>5107</v>
      </c>
      <c r="L182" s="2483"/>
      <c r="M182" s="2483"/>
      <c r="N182" s="2483"/>
      <c r="O182" s="2483"/>
      <c r="P182" s="2483"/>
      <c r="Q182" s="2483"/>
      <c r="R182" s="2483"/>
      <c r="S182" s="2483"/>
      <c r="T182" s="2483"/>
      <c r="U182" s="2483"/>
      <c r="V182" s="2483"/>
      <c r="W182" s="2483"/>
      <c r="X182" s="2483"/>
      <c r="Y182" s="2483"/>
      <c r="Z182" s="2483"/>
      <c r="AA182" s="2483"/>
      <c r="AB182" s="2483"/>
      <c r="AC182" s="2483"/>
      <c r="AD182" s="2483"/>
      <c r="AE182" s="2483"/>
      <c r="AF182" s="2483"/>
      <c r="AG182" s="2483"/>
      <c r="AH182" s="2483"/>
      <c r="AI182" s="2483"/>
      <c r="AJ182" s="2483"/>
      <c r="AK182" s="2483"/>
      <c r="AL182" s="2483"/>
      <c r="AM182" s="2483"/>
      <c r="AN182" s="2483"/>
      <c r="AO182" s="2483"/>
      <c r="AP182" s="2483"/>
      <c r="AQ182" s="2483"/>
      <c r="AR182" s="2483"/>
      <c r="AS182" s="2483"/>
      <c r="AT182" s="2484"/>
      <c r="AU182" s="171"/>
      <c r="AV182" s="151" t="b">
        <v>0</v>
      </c>
      <c r="AX182" s="544" t="s">
        <v>2269</v>
      </c>
      <c r="AY182" s="544" t="s">
        <v>2329</v>
      </c>
      <c r="AZ182" s="114"/>
      <c r="BA182" s="546" t="s">
        <v>2330</v>
      </c>
      <c r="BB182" s="115"/>
      <c r="BC182" s="548" t="s">
        <v>2331</v>
      </c>
      <c r="BD182" s="547" t="s">
        <v>2332</v>
      </c>
      <c r="BE182" s="115"/>
      <c r="BF182" s="547" t="s">
        <v>2333</v>
      </c>
      <c r="BG182" s="115"/>
      <c r="BH182" s="547" t="s">
        <v>2334</v>
      </c>
      <c r="BI182" s="115"/>
      <c r="CA182" s="4"/>
      <c r="CB182" s="152"/>
      <c r="CD182" s="108"/>
      <c r="CE182" s="108"/>
      <c r="CF182" s="108"/>
      <c r="CH182" s="42"/>
      <c r="CI182" s="42"/>
      <c r="CJ182" s="42"/>
      <c r="CK182" s="42"/>
      <c r="CO182" s="2"/>
      <c r="CP182" s="43"/>
      <c r="CQ182" s="2"/>
      <c r="CR182" s="45"/>
      <c r="CS182" s="45"/>
      <c r="CT182" s="45"/>
      <c r="CU182" s="45"/>
      <c r="CV182" s="10"/>
      <c r="DE182" s="32"/>
      <c r="DH182" s="836" t="s">
        <v>5696</v>
      </c>
      <c r="DI182" s="836" t="s">
        <v>5698</v>
      </c>
      <c r="DJ182" s="836"/>
      <c r="DK182" s="836" t="str">
        <f t="shared" si="30"/>
        <v>10903316</v>
      </c>
      <c r="DL182" s="838" t="s">
        <v>5700</v>
      </c>
      <c r="DM182" s="838" t="s">
        <v>5702</v>
      </c>
      <c r="DN182" s="839">
        <f>IF(AS31="包括",1,4)</f>
        <v>1</v>
      </c>
      <c r="DX182" s="85"/>
      <c r="DY182" s="85"/>
    </row>
    <row r="183" spans="2:129" ht="19.5" customHeight="1">
      <c r="B183" s="181"/>
      <c r="C183" s="1114"/>
      <c r="D183" s="1115"/>
      <c r="E183" s="1115"/>
      <c r="F183" s="1115"/>
      <c r="G183" s="1115"/>
      <c r="H183" s="1115"/>
      <c r="I183" s="1115"/>
      <c r="J183" s="1116"/>
      <c r="K183" s="2924" t="s">
        <v>5811</v>
      </c>
      <c r="L183" s="2925"/>
      <c r="M183" s="2925"/>
      <c r="N183" s="2925"/>
      <c r="O183" s="2925"/>
      <c r="P183" s="2925"/>
      <c r="Q183" s="2925"/>
      <c r="R183" s="2925"/>
      <c r="S183" s="2925"/>
      <c r="T183" s="2925"/>
      <c r="U183" s="2925"/>
      <c r="V183" s="2925"/>
      <c r="W183" s="2925"/>
      <c r="X183" s="2925"/>
      <c r="Y183" s="2925"/>
      <c r="Z183" s="2925"/>
      <c r="AA183" s="2925"/>
      <c r="AB183" s="2925"/>
      <c r="AC183" s="2925"/>
      <c r="AD183" s="2925"/>
      <c r="AE183" s="2925"/>
      <c r="AF183" s="2925"/>
      <c r="AG183" s="2925"/>
      <c r="AH183" s="2925"/>
      <c r="AI183" s="2925"/>
      <c r="AJ183" s="2925"/>
      <c r="AK183" s="2925"/>
      <c r="AL183" s="2925"/>
      <c r="AM183" s="2925"/>
      <c r="AN183" s="2925"/>
      <c r="AO183" s="2925"/>
      <c r="AP183" s="2925"/>
      <c r="AQ183" s="2925"/>
      <c r="AR183" s="2925"/>
      <c r="AS183" s="2925"/>
      <c r="AT183" s="2926"/>
      <c r="AU183" s="171"/>
      <c r="AX183" s="544" t="s">
        <v>2270</v>
      </c>
      <c r="AY183" s="544" t="s">
        <v>2335</v>
      </c>
      <c r="AZ183" s="114"/>
      <c r="BA183" s="546" t="s">
        <v>2336</v>
      </c>
      <c r="BB183" s="115"/>
      <c r="BC183" s="115"/>
      <c r="BD183" s="547" t="s">
        <v>2337</v>
      </c>
      <c r="BE183" s="115"/>
      <c r="BF183" s="547" t="s">
        <v>2338</v>
      </c>
      <c r="BG183" s="115"/>
      <c r="BH183" s="547" t="s">
        <v>2339</v>
      </c>
      <c r="BI183" s="115"/>
      <c r="CA183" s="4"/>
      <c r="CB183" s="152"/>
      <c r="CD183" s="108"/>
      <c r="CE183" s="108"/>
      <c r="CF183" s="108"/>
      <c r="CH183" s="42"/>
      <c r="CI183" s="42"/>
      <c r="CJ183" s="42"/>
      <c r="CK183" s="42"/>
      <c r="CO183" s="2"/>
      <c r="CP183" s="43"/>
      <c r="CQ183" s="2"/>
      <c r="CR183" s="45"/>
      <c r="CS183" s="45"/>
      <c r="CT183" s="45"/>
      <c r="CU183" s="45"/>
      <c r="CV183" s="10"/>
      <c r="DE183" s="32"/>
      <c r="DH183" s="836" t="s">
        <v>5696</v>
      </c>
      <c r="DI183" s="836" t="s">
        <v>5699</v>
      </c>
      <c r="DJ183" s="836"/>
      <c r="DK183" s="836" t="str">
        <f t="shared" si="30"/>
        <v>10903317</v>
      </c>
      <c r="DL183" s="838" t="s">
        <v>5700</v>
      </c>
      <c r="DM183" s="838" t="s">
        <v>5703</v>
      </c>
      <c r="DN183" s="839" t="str">
        <f>TEXT(記入シート1!AI85,"0000")&amp;TEXT(記入シート1!AM85,"00")&amp;TEXT(記入シート1!AQ85,"00")</f>
        <v>00000000</v>
      </c>
      <c r="DX183" s="85"/>
      <c r="DY183" s="85"/>
    </row>
    <row r="184" spans="2:129" ht="19.5" customHeight="1">
      <c r="B184" s="181"/>
      <c r="C184" s="1117"/>
      <c r="D184" s="1118"/>
      <c r="E184" s="1118"/>
      <c r="F184" s="1118"/>
      <c r="G184" s="1118"/>
      <c r="H184" s="1118"/>
      <c r="I184" s="1118"/>
      <c r="J184" s="1119"/>
      <c r="K184" s="1120"/>
      <c r="L184" s="2927" t="s">
        <v>5812</v>
      </c>
      <c r="M184" s="2928"/>
      <c r="N184" s="2928"/>
      <c r="O184" s="2928"/>
      <c r="P184" s="2929"/>
      <c r="Q184" s="2929"/>
      <c r="R184" s="2929"/>
      <c r="S184" s="2930"/>
      <c r="T184" s="156"/>
      <c r="U184" s="156"/>
      <c r="V184" s="156"/>
      <c r="W184" s="156"/>
      <c r="X184" s="156"/>
      <c r="Y184" s="157"/>
      <c r="Z184" s="157"/>
      <c r="AA184" s="157"/>
      <c r="AB184" s="157"/>
      <c r="AC184" s="157"/>
      <c r="AD184" s="157"/>
      <c r="AE184" s="157"/>
      <c r="AF184" s="157"/>
      <c r="AG184" s="156"/>
      <c r="AH184" s="156"/>
      <c r="AI184" s="156"/>
      <c r="AJ184" s="156"/>
      <c r="AK184" s="184"/>
      <c r="AL184" s="184"/>
      <c r="AM184" s="158"/>
      <c r="AN184" s="158"/>
      <c r="AO184" s="184"/>
      <c r="AP184" s="184"/>
      <c r="AQ184" s="184"/>
      <c r="AR184" s="184"/>
      <c r="AS184" s="184"/>
      <c r="AT184" s="1121"/>
      <c r="AU184" s="171"/>
      <c r="AX184" s="544" t="s">
        <v>2271</v>
      </c>
      <c r="AY184" s="544" t="s">
        <v>2340</v>
      </c>
      <c r="AZ184" s="114"/>
      <c r="BA184" s="546" t="s">
        <v>2341</v>
      </c>
      <c r="BB184" s="115"/>
      <c r="BC184" s="115"/>
      <c r="BD184" s="547" t="s">
        <v>2342</v>
      </c>
      <c r="BE184" s="115"/>
      <c r="BF184" s="547" t="s">
        <v>2343</v>
      </c>
      <c r="BG184" s="115"/>
      <c r="BH184" s="547" t="s">
        <v>2344</v>
      </c>
      <c r="BI184" s="115"/>
      <c r="CA184" s="4"/>
      <c r="CB184" s="152"/>
      <c r="CD184" s="108"/>
      <c r="CE184" s="108"/>
      <c r="CF184" s="108"/>
      <c r="CH184" s="42"/>
      <c r="CI184" s="42"/>
      <c r="CJ184" s="42"/>
      <c r="CK184" s="42"/>
      <c r="CO184" s="2"/>
      <c r="CP184" s="43"/>
      <c r="CQ184" s="2"/>
      <c r="CR184" s="45"/>
      <c r="CS184" s="45"/>
      <c r="CT184" s="45"/>
      <c r="CU184" s="45"/>
      <c r="CV184" s="10"/>
      <c r="DE184" s="32"/>
      <c r="DH184" s="1102" t="s">
        <v>5715</v>
      </c>
      <c r="DI184" s="836" t="s">
        <v>2170</v>
      </c>
      <c r="DJ184" s="836"/>
      <c r="DK184" s="836" t="str">
        <f t="shared" si="30"/>
        <v>94901QD2</v>
      </c>
      <c r="DL184" s="838" t="s">
        <v>5717</v>
      </c>
      <c r="DM184" s="838" t="s">
        <v>5718</v>
      </c>
      <c r="DN184" s="839" t="str">
        <f>T(記入シート1!I67)</f>
        <v/>
      </c>
      <c r="DX184" s="85"/>
      <c r="DY184" s="85"/>
    </row>
    <row r="185" spans="2:129" ht="19.5" customHeight="1" thickBot="1">
      <c r="B185" s="181"/>
      <c r="C185" s="1122"/>
      <c r="D185" s="1123"/>
      <c r="E185" s="1123"/>
      <c r="F185" s="1123"/>
      <c r="G185" s="1123"/>
      <c r="H185" s="1123"/>
      <c r="I185" s="1123"/>
      <c r="J185" s="1124"/>
      <c r="K185" s="1125"/>
      <c r="L185" s="2931" t="s">
        <v>5813</v>
      </c>
      <c r="M185" s="2932"/>
      <c r="N185" s="2932"/>
      <c r="O185" s="2932"/>
      <c r="P185" s="2933"/>
      <c r="Q185" s="2933"/>
      <c r="R185" s="2933"/>
      <c r="S185" s="2934"/>
      <c r="T185" s="1126"/>
      <c r="U185" s="1126"/>
      <c r="V185" s="1126"/>
      <c r="W185" s="1126"/>
      <c r="X185" s="1126"/>
      <c r="Y185" s="1127"/>
      <c r="Z185" s="1127"/>
      <c r="AA185" s="1127"/>
      <c r="AB185" s="1127"/>
      <c r="AC185" s="1127"/>
      <c r="AD185" s="1127"/>
      <c r="AE185" s="1127"/>
      <c r="AF185" s="1127"/>
      <c r="AG185" s="1126"/>
      <c r="AH185" s="1126"/>
      <c r="AI185" s="1126"/>
      <c r="AJ185" s="1126"/>
      <c r="AK185" s="1128"/>
      <c r="AL185" s="1128"/>
      <c r="AM185" s="1129"/>
      <c r="AN185" s="1129"/>
      <c r="AO185" s="1128"/>
      <c r="AP185" s="1128"/>
      <c r="AQ185" s="1128"/>
      <c r="AR185" s="1128"/>
      <c r="AS185" s="1128"/>
      <c r="AT185" s="1130"/>
      <c r="AU185" s="171"/>
      <c r="AX185" s="544" t="s">
        <v>2272</v>
      </c>
      <c r="AY185" s="544" t="s">
        <v>2345</v>
      </c>
      <c r="AZ185" s="114"/>
      <c r="BA185" s="546" t="s">
        <v>2346</v>
      </c>
      <c r="BB185" s="115"/>
      <c r="BC185" s="115"/>
      <c r="BD185" s="547" t="s">
        <v>2347</v>
      </c>
      <c r="BE185" s="115"/>
      <c r="BF185" s="547" t="s">
        <v>2348</v>
      </c>
      <c r="BG185" s="115"/>
      <c r="BH185" s="549" t="s">
        <v>2349</v>
      </c>
      <c r="BI185" s="115"/>
      <c r="CA185" s="4"/>
      <c r="CB185" s="152"/>
      <c r="CD185" s="108"/>
      <c r="CE185" s="108"/>
      <c r="CF185" s="108"/>
      <c r="CH185" s="42"/>
      <c r="CI185" s="42"/>
      <c r="CJ185" s="42"/>
      <c r="CK185" s="42"/>
      <c r="CO185" s="2"/>
      <c r="CP185" s="43"/>
      <c r="CQ185" s="2"/>
      <c r="CR185" s="45"/>
      <c r="CS185" s="45"/>
      <c r="CT185" s="45"/>
      <c r="CU185" s="45"/>
      <c r="CV185" s="10"/>
      <c r="DE185" s="32"/>
      <c r="DH185" s="1102" t="s">
        <v>5715</v>
      </c>
      <c r="DI185" s="836" t="s">
        <v>2171</v>
      </c>
      <c r="DJ185" s="836"/>
      <c r="DK185" s="836" t="str">
        <f t="shared" si="30"/>
        <v>94901QD3</v>
      </c>
      <c r="DL185" s="838" t="s">
        <v>5717</v>
      </c>
      <c r="DM185" s="838" t="s">
        <v>5719</v>
      </c>
      <c r="DN185" s="839" t="str">
        <f>"15"</f>
        <v>15</v>
      </c>
      <c r="DX185" s="85"/>
      <c r="DY185" s="85"/>
    </row>
    <row r="186" spans="2:129" ht="19.5" customHeight="1">
      <c r="B186" s="181"/>
      <c r="C186" s="134"/>
      <c r="D186" s="134"/>
      <c r="E186" s="134"/>
      <c r="F186" s="134"/>
      <c r="G186" s="134"/>
      <c r="H186" s="134"/>
      <c r="I186" s="134"/>
      <c r="J186" s="134"/>
      <c r="K186" s="134"/>
      <c r="L186" s="155"/>
      <c r="M186" s="155"/>
      <c r="N186" s="155"/>
      <c r="O186" s="185"/>
      <c r="P186" s="185"/>
      <c r="Q186" s="156"/>
      <c r="R186" s="156"/>
      <c r="S186" s="156"/>
      <c r="T186" s="156"/>
      <c r="U186" s="156"/>
      <c r="V186" s="156"/>
      <c r="W186" s="156"/>
      <c r="X186" s="156"/>
      <c r="Y186" s="157"/>
      <c r="Z186" s="157"/>
      <c r="AA186" s="157"/>
      <c r="AB186" s="157"/>
      <c r="AC186" s="157"/>
      <c r="AD186" s="157"/>
      <c r="AE186" s="157"/>
      <c r="AF186" s="157"/>
      <c r="AG186" s="156"/>
      <c r="AH186" s="156"/>
      <c r="AI186" s="156"/>
      <c r="AJ186" s="156"/>
      <c r="AK186" s="184"/>
      <c r="AL186" s="184"/>
      <c r="AM186" s="158"/>
      <c r="AN186" s="158"/>
      <c r="AO186" s="184"/>
      <c r="AP186" s="184"/>
      <c r="AQ186" s="184"/>
      <c r="AR186" s="184"/>
      <c r="AS186" s="184"/>
      <c r="AT186" s="184"/>
      <c r="AU186" s="171"/>
      <c r="AX186" s="544" t="s">
        <v>2273</v>
      </c>
      <c r="AY186" s="544" t="s">
        <v>2350</v>
      </c>
      <c r="AZ186" s="114"/>
      <c r="BA186" s="547" t="s">
        <v>2351</v>
      </c>
      <c r="BB186" s="115"/>
      <c r="BC186" s="115"/>
      <c r="BD186" s="547" t="s">
        <v>2352</v>
      </c>
      <c r="BE186" s="115"/>
      <c r="BF186" s="549" t="s">
        <v>2353</v>
      </c>
      <c r="BG186" s="115"/>
      <c r="BH186" s="115"/>
      <c r="BI186" s="115"/>
      <c r="CA186" s="4"/>
      <c r="CB186" s="152"/>
      <c r="CD186" s="108"/>
      <c r="CE186" s="108"/>
      <c r="CF186" s="108"/>
      <c r="CH186" s="42"/>
      <c r="CI186" s="42"/>
      <c r="CJ186" s="42"/>
      <c r="CK186" s="42"/>
      <c r="CO186" s="2"/>
      <c r="CP186" s="43"/>
      <c r="CQ186" s="2"/>
      <c r="CR186" s="45"/>
      <c r="CS186" s="45"/>
      <c r="CT186" s="45"/>
      <c r="CU186" s="45"/>
      <c r="CV186" s="10"/>
      <c r="DE186" s="32"/>
      <c r="DH186" s="1102" t="s">
        <v>5715</v>
      </c>
      <c r="DI186" s="836" t="s">
        <v>3245</v>
      </c>
      <c r="DJ186" s="836"/>
      <c r="DK186" s="836" t="str">
        <f t="shared" si="30"/>
        <v>94901QD4</v>
      </c>
      <c r="DL186" s="838" t="s">
        <v>5717</v>
      </c>
      <c r="DM186" s="838" t="s">
        <v>5720</v>
      </c>
      <c r="DN186" s="839" t="str">
        <f>T(記入シート1!I31)</f>
        <v/>
      </c>
      <c r="DX186" s="85"/>
      <c r="DY186" s="85"/>
    </row>
    <row r="187" spans="2:129" ht="19.5" customHeight="1">
      <c r="B187" s="181"/>
      <c r="C187" s="134"/>
      <c r="D187" s="134"/>
      <c r="E187" s="134"/>
      <c r="F187" s="134"/>
      <c r="G187" s="134"/>
      <c r="H187" s="134"/>
      <c r="I187" s="134"/>
      <c r="J187" s="134"/>
      <c r="K187" s="134"/>
      <c r="L187" s="155"/>
      <c r="M187" s="155"/>
      <c r="N187" s="155"/>
      <c r="O187" s="185"/>
      <c r="P187" s="185"/>
      <c r="Q187" s="156"/>
      <c r="R187" s="156"/>
      <c r="S187" s="156"/>
      <c r="T187" s="156"/>
      <c r="U187" s="156"/>
      <c r="V187" s="156"/>
      <c r="W187" s="156"/>
      <c r="X187" s="156"/>
      <c r="Y187" s="157"/>
      <c r="Z187" s="157"/>
      <c r="AA187" s="157"/>
      <c r="AB187" s="157"/>
      <c r="AC187" s="157"/>
      <c r="AD187" s="157"/>
      <c r="AE187" s="157"/>
      <c r="AF187" s="157"/>
      <c r="AG187" s="156"/>
      <c r="AH187" s="156"/>
      <c r="AI187" s="156"/>
      <c r="AJ187" s="156"/>
      <c r="AK187" s="184"/>
      <c r="AL187" s="184"/>
      <c r="AM187" s="158"/>
      <c r="AN187" s="158"/>
      <c r="AO187" s="184"/>
      <c r="AP187" s="184"/>
      <c r="AQ187" s="184"/>
      <c r="AR187" s="184"/>
      <c r="AS187" s="184"/>
      <c r="AT187" s="184"/>
      <c r="AU187" s="171"/>
      <c r="AX187" s="637" t="s">
        <v>2274</v>
      </c>
      <c r="AY187" s="544" t="s">
        <v>2354</v>
      </c>
      <c r="AZ187" s="114"/>
      <c r="BA187" s="549" t="s">
        <v>2355</v>
      </c>
      <c r="BB187" s="115"/>
      <c r="BC187" s="115"/>
      <c r="BD187" s="547" t="s">
        <v>2356</v>
      </c>
      <c r="BE187" s="115"/>
      <c r="BF187" s="115"/>
      <c r="BG187" s="115"/>
      <c r="BH187" s="115"/>
      <c r="BI187" s="115"/>
      <c r="CA187" s="4"/>
      <c r="CB187" s="152"/>
      <c r="CD187" s="108"/>
      <c r="CE187" s="108"/>
      <c r="CF187" s="108"/>
      <c r="CH187" s="42"/>
      <c r="CI187" s="42"/>
      <c r="CJ187" s="42"/>
      <c r="CK187" s="42"/>
      <c r="CO187" s="2"/>
      <c r="CP187" s="43"/>
      <c r="CQ187" s="2"/>
      <c r="CR187" s="45"/>
      <c r="CS187" s="45"/>
      <c r="CT187" s="45"/>
      <c r="CU187" s="45"/>
      <c r="CV187" s="10"/>
      <c r="DE187" s="32"/>
      <c r="DH187" s="1102" t="s">
        <v>5715</v>
      </c>
      <c r="DI187" s="836" t="s">
        <v>3246</v>
      </c>
      <c r="DJ187" s="836"/>
      <c r="DK187" s="836" t="str">
        <f t="shared" si="30"/>
        <v>94901QD5</v>
      </c>
      <c r="DL187" s="838" t="s">
        <v>5717</v>
      </c>
      <c r="DM187" s="838" t="s">
        <v>5721</v>
      </c>
      <c r="DN187" s="839" t="str">
        <f>T(記入シート1!AB64)</f>
        <v/>
      </c>
      <c r="DX187" s="85"/>
      <c r="DY187" s="85"/>
    </row>
    <row r="188" spans="2:129" ht="19.5" customHeight="1" thickBot="1">
      <c r="B188" s="181"/>
      <c r="C188" s="160" t="s">
        <v>5820</v>
      </c>
      <c r="D188" s="129"/>
      <c r="E188" s="129"/>
      <c r="F188" s="129"/>
      <c r="G188" s="129"/>
      <c r="H188" s="129"/>
      <c r="I188" s="129"/>
      <c r="J188" s="190"/>
      <c r="K188" s="129"/>
      <c r="L188" s="1132"/>
      <c r="M188" s="1132"/>
      <c r="N188" s="1132"/>
      <c r="O188" s="185"/>
      <c r="P188" s="185"/>
      <c r="Q188" s="1133"/>
      <c r="R188" s="1133"/>
      <c r="S188" s="1133"/>
      <c r="T188" s="1133"/>
      <c r="U188" s="1133"/>
      <c r="V188" s="1133"/>
      <c r="W188" s="1133"/>
      <c r="X188" s="1133"/>
      <c r="Y188" s="1134"/>
      <c r="Z188" s="1134"/>
      <c r="AA188" s="1134"/>
      <c r="AB188" s="1134"/>
      <c r="AC188" s="1134"/>
      <c r="AD188" s="1134"/>
      <c r="AE188" s="1134"/>
      <c r="AF188" s="1134"/>
      <c r="AG188" s="1133"/>
      <c r="AH188" s="1133"/>
      <c r="AI188" s="1133"/>
      <c r="AJ188" s="1133"/>
      <c r="AK188" s="1132"/>
      <c r="AL188" s="1132"/>
      <c r="AM188" s="1135"/>
      <c r="AN188" s="1135"/>
      <c r="AO188" s="1132"/>
      <c r="AP188" s="1132"/>
      <c r="AQ188" s="1132"/>
      <c r="AR188" s="1132"/>
      <c r="AS188" s="1132"/>
      <c r="AT188" s="1132"/>
      <c r="AU188" s="171"/>
      <c r="AX188" s="114"/>
      <c r="AY188" s="544" t="s">
        <v>2357</v>
      </c>
      <c r="AZ188" s="114"/>
      <c r="BA188" s="115"/>
      <c r="BB188" s="115"/>
      <c r="BC188" s="115"/>
      <c r="BD188" s="547" t="s">
        <v>2358</v>
      </c>
      <c r="BE188" s="115"/>
      <c r="BF188" s="115"/>
      <c r="BG188" s="115"/>
      <c r="BH188" s="115"/>
      <c r="BI188" s="115"/>
      <c r="CA188" s="4"/>
      <c r="CB188" s="152"/>
      <c r="CD188" s="108"/>
      <c r="CE188" s="108"/>
      <c r="CF188" s="108"/>
      <c r="CH188" s="42"/>
      <c r="CI188" s="42"/>
      <c r="CJ188" s="42"/>
      <c r="CK188" s="42"/>
      <c r="CO188" s="2"/>
      <c r="CP188" s="43"/>
      <c r="CQ188" s="2"/>
      <c r="CR188" s="45"/>
      <c r="CS188" s="45"/>
      <c r="CT188" s="45"/>
      <c r="CU188" s="45"/>
      <c r="CV188" s="10"/>
      <c r="DE188" s="32"/>
      <c r="DH188" s="1102" t="s">
        <v>5715</v>
      </c>
      <c r="DI188" s="836" t="s">
        <v>3247</v>
      </c>
      <c r="DJ188" s="836"/>
      <c r="DK188" s="836" t="str">
        <f t="shared" si="30"/>
        <v>94901QD6</v>
      </c>
      <c r="DL188" s="838" t="s">
        <v>5717</v>
      </c>
      <c r="DM188" s="838" t="s">
        <v>5722</v>
      </c>
      <c r="DN188" s="839" t="str">
        <f>T(記入シート1!AB67)</f>
        <v/>
      </c>
      <c r="DX188" s="85"/>
      <c r="DY188" s="85"/>
    </row>
    <row r="189" spans="2:129" ht="19.5" customHeight="1">
      <c r="B189" s="181"/>
      <c r="C189" s="2935" t="s">
        <v>5821</v>
      </c>
      <c r="D189" s="2481"/>
      <c r="E189" s="2481"/>
      <c r="F189" s="2481"/>
      <c r="G189" s="2481"/>
      <c r="H189" s="2481"/>
      <c r="I189" s="2481"/>
      <c r="J189" s="2481"/>
      <c r="K189" s="2481"/>
      <c r="L189" s="2481"/>
      <c r="M189" s="2481"/>
      <c r="N189" s="2481"/>
      <c r="O189" s="2481"/>
      <c r="P189" s="2481"/>
      <c r="Q189" s="2481"/>
      <c r="R189" s="2481"/>
      <c r="S189" s="2481"/>
      <c r="T189" s="2481"/>
      <c r="U189" s="2481"/>
      <c r="V189" s="2481"/>
      <c r="W189" s="2481"/>
      <c r="X189" s="2481"/>
      <c r="Y189" s="2481"/>
      <c r="Z189" s="2481"/>
      <c r="AA189" s="2481"/>
      <c r="AB189" s="2481"/>
      <c r="AC189" s="2481"/>
      <c r="AD189" s="2481"/>
      <c r="AE189" s="2481"/>
      <c r="AF189" s="2481"/>
      <c r="AG189" s="2481"/>
      <c r="AH189" s="2481"/>
      <c r="AI189" s="2481"/>
      <c r="AJ189" s="2481"/>
      <c r="AK189" s="2481"/>
      <c r="AL189" s="2481"/>
      <c r="AM189" s="2481"/>
      <c r="AN189" s="2481"/>
      <c r="AO189" s="2481"/>
      <c r="AP189" s="2481"/>
      <c r="AQ189" s="2481"/>
      <c r="AR189" s="2481"/>
      <c r="AS189" s="2481"/>
      <c r="AT189" s="2482"/>
      <c r="AU189" s="171"/>
      <c r="AV189" s="151" t="b">
        <v>1</v>
      </c>
      <c r="AX189" s="114"/>
      <c r="AY189" s="544" t="s">
        <v>2359</v>
      </c>
      <c r="AZ189" s="114"/>
      <c r="BA189" s="115"/>
      <c r="BB189" s="115"/>
      <c r="BC189" s="115"/>
      <c r="BD189" s="547" t="s">
        <v>2360</v>
      </c>
      <c r="BE189" s="115"/>
      <c r="BF189" s="115"/>
      <c r="BG189" s="115"/>
      <c r="BH189" s="115"/>
      <c r="BI189" s="115"/>
      <c r="CA189" s="11"/>
      <c r="CB189" s="152"/>
      <c r="CD189" s="108"/>
      <c r="CE189" s="108"/>
      <c r="CF189" s="108"/>
      <c r="CH189" s="42"/>
      <c r="CI189" s="42"/>
      <c r="CJ189" s="42"/>
      <c r="CK189" s="42"/>
      <c r="CO189" s="2"/>
      <c r="CP189" s="43"/>
      <c r="CQ189" s="2"/>
      <c r="CR189" s="45"/>
      <c r="CS189" s="45"/>
      <c r="CT189" s="45"/>
      <c r="CU189" s="45"/>
      <c r="CV189" s="10"/>
      <c r="DE189" s="32"/>
      <c r="DH189" s="1102" t="s">
        <v>5715</v>
      </c>
      <c r="DI189" s="836" t="s">
        <v>3251</v>
      </c>
      <c r="DJ189" s="836"/>
      <c r="DK189" s="836" t="str">
        <f t="shared" si="30"/>
        <v>94901QD7</v>
      </c>
      <c r="DL189" s="838" t="s">
        <v>5717</v>
      </c>
      <c r="DM189" s="838" t="s">
        <v>5723</v>
      </c>
      <c r="DN189" s="1089" t="str">
        <f>""</f>
        <v/>
      </c>
      <c r="DX189" s="85"/>
      <c r="DY189" s="85"/>
    </row>
    <row r="190" spans="2:129" ht="19.5" customHeight="1">
      <c r="B190" s="181"/>
      <c r="C190" s="2936" t="s">
        <v>5822</v>
      </c>
      <c r="D190" s="2937"/>
      <c r="E190" s="2937"/>
      <c r="F190" s="2937"/>
      <c r="G190" s="2937"/>
      <c r="H190" s="2937"/>
      <c r="I190" s="2937"/>
      <c r="J190" s="2937"/>
      <c r="K190" s="2937"/>
      <c r="L190" s="2937"/>
      <c r="M190" s="2937"/>
      <c r="N190" s="2937"/>
      <c r="O190" s="2937"/>
      <c r="P190" s="2937"/>
      <c r="Q190" s="2937"/>
      <c r="R190" s="2937"/>
      <c r="S190" s="2937"/>
      <c r="T190" s="2937"/>
      <c r="U190" s="2937"/>
      <c r="V190" s="2937"/>
      <c r="W190" s="2937"/>
      <c r="X190" s="2937"/>
      <c r="Y190" s="2937"/>
      <c r="Z190" s="2937"/>
      <c r="AA190" s="2937"/>
      <c r="AB190" s="2937"/>
      <c r="AC190" s="2937"/>
      <c r="AD190" s="2937"/>
      <c r="AE190" s="2937"/>
      <c r="AF190" s="2937"/>
      <c r="AG190" s="2937"/>
      <c r="AH190" s="2937"/>
      <c r="AI190" s="2937"/>
      <c r="AJ190" s="2937"/>
      <c r="AK190" s="2937"/>
      <c r="AL190" s="2937"/>
      <c r="AM190" s="2937"/>
      <c r="AN190" s="2937"/>
      <c r="AO190" s="2937"/>
      <c r="AP190" s="2937"/>
      <c r="AQ190" s="2937"/>
      <c r="AR190" s="2937"/>
      <c r="AS190" s="2937"/>
      <c r="AT190" s="2938"/>
      <c r="AU190" s="171"/>
      <c r="AX190" s="114"/>
      <c r="AY190" s="544" t="s">
        <v>2361</v>
      </c>
      <c r="AZ190" s="114"/>
      <c r="BA190" s="115"/>
      <c r="BB190" s="115"/>
      <c r="BC190" s="115"/>
      <c r="BD190" s="547" t="s">
        <v>2362</v>
      </c>
      <c r="BE190" s="115"/>
      <c r="BF190" s="115"/>
      <c r="BG190" s="115"/>
      <c r="BH190" s="115"/>
      <c r="BI190" s="115"/>
      <c r="CA190" s="11"/>
      <c r="CB190" s="152"/>
      <c r="CD190" s="108"/>
      <c r="CE190" s="108"/>
      <c r="CF190" s="108"/>
      <c r="CH190" s="42"/>
      <c r="CI190" s="42"/>
      <c r="CJ190" s="42"/>
      <c r="CK190" s="42"/>
      <c r="CO190" s="2"/>
      <c r="CP190" s="43"/>
      <c r="CQ190" s="2"/>
      <c r="CR190" s="45"/>
      <c r="CS190" s="45"/>
      <c r="CT190" s="45"/>
      <c r="CU190" s="45"/>
      <c r="CV190" s="10"/>
      <c r="DE190" s="32"/>
      <c r="DH190" s="1102" t="s">
        <v>5715</v>
      </c>
      <c r="DI190" s="836" t="s">
        <v>3264</v>
      </c>
      <c r="DJ190" s="836"/>
      <c r="DK190" s="836" t="str">
        <f t="shared" si="30"/>
        <v>94901QD8</v>
      </c>
      <c r="DL190" s="838" t="s">
        <v>5717</v>
      </c>
      <c r="DM190" s="838" t="s">
        <v>5724</v>
      </c>
      <c r="DN190" s="1089" t="str">
        <f>""</f>
        <v/>
      </c>
      <c r="DX190" s="85"/>
      <c r="DY190" s="85"/>
    </row>
    <row r="191" spans="2:129" ht="19.5" customHeight="1">
      <c r="B191" s="181"/>
      <c r="C191" s="2939" t="s">
        <v>5823</v>
      </c>
      <c r="D191" s="2940"/>
      <c r="E191" s="2940"/>
      <c r="F191" s="2940"/>
      <c r="G191" s="2940"/>
      <c r="H191" s="2940"/>
      <c r="I191" s="2940"/>
      <c r="J191" s="2940"/>
      <c r="K191" s="2940"/>
      <c r="L191" s="2940"/>
      <c r="M191" s="2940"/>
      <c r="N191" s="2940"/>
      <c r="O191" s="2940"/>
      <c r="P191" s="2940"/>
      <c r="Q191" s="2940"/>
      <c r="R191" s="2940"/>
      <c r="S191" s="2940"/>
      <c r="T191" s="2940"/>
      <c r="U191" s="2940"/>
      <c r="V191" s="2940"/>
      <c r="W191" s="2940"/>
      <c r="X191" s="2940"/>
      <c r="Y191" s="2940"/>
      <c r="Z191" s="2940"/>
      <c r="AA191" s="2940"/>
      <c r="AB191" s="2940"/>
      <c r="AC191" s="2940"/>
      <c r="AD191" s="2940"/>
      <c r="AE191" s="2940"/>
      <c r="AF191" s="2940"/>
      <c r="AG191" s="2940"/>
      <c r="AH191" s="2940"/>
      <c r="AI191" s="2940"/>
      <c r="AJ191" s="2940"/>
      <c r="AK191" s="2940"/>
      <c r="AL191" s="2940"/>
      <c r="AM191" s="2940"/>
      <c r="AN191" s="2940"/>
      <c r="AO191" s="2940"/>
      <c r="AP191" s="2940"/>
      <c r="AQ191" s="2940"/>
      <c r="AR191" s="2940"/>
      <c r="AS191" s="2940"/>
      <c r="AT191" s="2941"/>
      <c r="AU191" s="171"/>
      <c r="AV191" s="151" t="b">
        <v>1</v>
      </c>
      <c r="AX191" s="114"/>
      <c r="AY191" s="544" t="s">
        <v>2363</v>
      </c>
      <c r="AZ191" s="114"/>
      <c r="BA191" s="115"/>
      <c r="BB191" s="115"/>
      <c r="BC191" s="115"/>
      <c r="BD191" s="547" t="s">
        <v>2364</v>
      </c>
      <c r="BE191" s="115"/>
      <c r="BF191" s="115"/>
      <c r="BG191" s="115"/>
      <c r="BH191" s="115"/>
      <c r="BI191" s="115"/>
      <c r="CA191" s="11"/>
      <c r="CB191" s="153"/>
      <c r="CD191" s="108"/>
      <c r="CE191" s="108"/>
      <c r="CF191" s="108"/>
      <c r="CH191" s="42"/>
      <c r="CI191" s="42"/>
      <c r="CJ191" s="42"/>
      <c r="CK191" s="42"/>
      <c r="CO191" s="2"/>
      <c r="CP191" s="43"/>
      <c r="CQ191" s="2"/>
      <c r="CR191" s="45"/>
      <c r="CS191" s="45"/>
      <c r="CT191" s="45"/>
      <c r="CU191" s="45"/>
      <c r="CV191" s="10"/>
      <c r="DE191" s="32"/>
      <c r="DH191" s="1102" t="s">
        <v>5715</v>
      </c>
      <c r="DI191" s="836" t="s">
        <v>3270</v>
      </c>
      <c r="DJ191" s="836"/>
      <c r="DK191" s="836" t="str">
        <f t="shared" si="30"/>
        <v>94901QD9</v>
      </c>
      <c r="DL191" s="838" t="s">
        <v>5717</v>
      </c>
      <c r="DM191" s="838" t="s">
        <v>5725</v>
      </c>
      <c r="DN191" s="839" t="str">
        <f>"+81"&amp;MID(SUBSTITUTE(ASC(CP22),"-",""),2,15)</f>
        <v>+81</v>
      </c>
      <c r="DX191" s="85"/>
      <c r="DY191" s="85"/>
    </row>
    <row r="192" spans="2:129" ht="19.5" customHeight="1">
      <c r="B192" s="181"/>
      <c r="C192" s="2936" t="s">
        <v>5824</v>
      </c>
      <c r="D192" s="2937"/>
      <c r="E192" s="2937"/>
      <c r="F192" s="2937"/>
      <c r="G192" s="2937"/>
      <c r="H192" s="2937"/>
      <c r="I192" s="2937"/>
      <c r="J192" s="2937"/>
      <c r="K192" s="2937"/>
      <c r="L192" s="2937"/>
      <c r="M192" s="2937"/>
      <c r="N192" s="2937"/>
      <c r="O192" s="2937"/>
      <c r="P192" s="2937"/>
      <c r="Q192" s="2937"/>
      <c r="R192" s="2937"/>
      <c r="S192" s="2937"/>
      <c r="T192" s="2937"/>
      <c r="U192" s="2937"/>
      <c r="V192" s="2937"/>
      <c r="W192" s="2937"/>
      <c r="X192" s="2937"/>
      <c r="Y192" s="2937"/>
      <c r="Z192" s="2937"/>
      <c r="AA192" s="2937"/>
      <c r="AB192" s="2937"/>
      <c r="AC192" s="2937"/>
      <c r="AD192" s="2937"/>
      <c r="AE192" s="2937"/>
      <c r="AF192" s="2937"/>
      <c r="AG192" s="2937"/>
      <c r="AH192" s="2937"/>
      <c r="AI192" s="2937"/>
      <c r="AJ192" s="2937"/>
      <c r="AK192" s="2937"/>
      <c r="AL192" s="2937"/>
      <c r="AM192" s="2937"/>
      <c r="AN192" s="2937"/>
      <c r="AO192" s="2937"/>
      <c r="AP192" s="2937"/>
      <c r="AQ192" s="2937"/>
      <c r="AR192" s="2937"/>
      <c r="AS192" s="2937"/>
      <c r="AT192" s="2938"/>
      <c r="AU192" s="171"/>
      <c r="AX192" s="114"/>
      <c r="AY192" s="544" t="s">
        <v>2365</v>
      </c>
      <c r="AZ192" s="114"/>
      <c r="BA192" s="115"/>
      <c r="BB192" s="115"/>
      <c r="BC192" s="115"/>
      <c r="BD192" s="547" t="s">
        <v>2366</v>
      </c>
      <c r="BE192" s="115"/>
      <c r="BF192" s="115"/>
      <c r="BG192" s="115"/>
      <c r="BH192" s="115"/>
      <c r="BI192" s="115"/>
      <c r="CA192" s="11"/>
      <c r="CB192" s="153"/>
      <c r="CD192" s="108"/>
      <c r="CE192" s="108"/>
      <c r="CF192" s="108"/>
      <c r="CH192" s="42"/>
      <c r="CI192" s="42"/>
      <c r="CJ192" s="42"/>
      <c r="CK192" s="42"/>
      <c r="CO192" s="2"/>
      <c r="CP192" s="43"/>
      <c r="CQ192" s="2"/>
      <c r="CR192" s="45"/>
      <c r="CS192" s="45"/>
      <c r="CT192" s="45"/>
      <c r="CU192" s="45"/>
      <c r="CV192" s="10"/>
      <c r="DE192" s="32"/>
      <c r="DH192" s="836" t="s">
        <v>4408</v>
      </c>
      <c r="DI192" s="836" t="s">
        <v>5503</v>
      </c>
      <c r="DJ192" s="836"/>
      <c r="DK192" s="836" t="str">
        <f t="shared" si="30"/>
        <v>10607URC</v>
      </c>
      <c r="DL192" s="838" t="s">
        <v>971</v>
      </c>
      <c r="DM192" s="838" t="s">
        <v>5504</v>
      </c>
      <c r="DN192" s="839" t="str">
        <f>UPPER(ASC(AO15))</f>
        <v>3911KG-79599</v>
      </c>
      <c r="DX192" s="85"/>
      <c r="DY192" s="85"/>
    </row>
    <row r="193" spans="2:129" ht="19.5" customHeight="1">
      <c r="B193" s="181"/>
      <c r="C193" s="2939" t="s">
        <v>5825</v>
      </c>
      <c r="D193" s="2940"/>
      <c r="E193" s="2940"/>
      <c r="F193" s="2940"/>
      <c r="G193" s="2940"/>
      <c r="H193" s="2940"/>
      <c r="I193" s="2940"/>
      <c r="J193" s="2940"/>
      <c r="K193" s="2940"/>
      <c r="L193" s="2940"/>
      <c r="M193" s="2940"/>
      <c r="N193" s="2940"/>
      <c r="O193" s="2940"/>
      <c r="P193" s="2940"/>
      <c r="Q193" s="2940"/>
      <c r="R193" s="2940"/>
      <c r="S193" s="2940"/>
      <c r="T193" s="2940"/>
      <c r="U193" s="2940"/>
      <c r="V193" s="2940"/>
      <c r="W193" s="2940"/>
      <c r="X193" s="2940"/>
      <c r="Y193" s="2940"/>
      <c r="Z193" s="2940"/>
      <c r="AA193" s="2940"/>
      <c r="AB193" s="2940"/>
      <c r="AC193" s="2940"/>
      <c r="AD193" s="2940"/>
      <c r="AE193" s="2940"/>
      <c r="AF193" s="2940"/>
      <c r="AG193" s="2940"/>
      <c r="AH193" s="2940"/>
      <c r="AI193" s="2940"/>
      <c r="AJ193" s="2940"/>
      <c r="AK193" s="2940"/>
      <c r="AL193" s="2940"/>
      <c r="AM193" s="2940"/>
      <c r="AN193" s="2940"/>
      <c r="AO193" s="2940"/>
      <c r="AP193" s="2940"/>
      <c r="AQ193" s="2940"/>
      <c r="AR193" s="2940"/>
      <c r="AS193" s="2940"/>
      <c r="AT193" s="2941"/>
      <c r="AU193" s="171"/>
      <c r="AX193" s="114"/>
      <c r="AY193" s="544" t="s">
        <v>2367</v>
      </c>
      <c r="AZ193" s="114"/>
      <c r="BA193" s="115"/>
      <c r="BB193" s="115"/>
      <c r="BC193" s="115"/>
      <c r="BD193" s="547" t="s">
        <v>2368</v>
      </c>
      <c r="BE193" s="115"/>
      <c r="BF193" s="115"/>
      <c r="BG193" s="115"/>
      <c r="BH193" s="115"/>
      <c r="BI193" s="115"/>
      <c r="CA193" s="2"/>
      <c r="CB193" s="153"/>
      <c r="CD193" s="108"/>
      <c r="CE193" s="108"/>
      <c r="CF193" s="108"/>
      <c r="CH193" s="42"/>
      <c r="CI193" s="42"/>
      <c r="CJ193" s="42"/>
      <c r="CK193" s="42"/>
      <c r="CO193" s="2"/>
      <c r="CP193" s="43"/>
      <c r="CQ193" s="2"/>
      <c r="CR193" s="45"/>
      <c r="CS193" s="45"/>
      <c r="CT193" s="45"/>
      <c r="CU193" s="45"/>
      <c r="CV193" s="10"/>
      <c r="DE193" s="32"/>
      <c r="DH193" s="836" t="s">
        <v>2152</v>
      </c>
      <c r="DI193" s="836" t="s">
        <v>5829</v>
      </c>
      <c r="DJ193" s="836"/>
      <c r="DK193" s="836" t="str">
        <f t="shared" si="30"/>
        <v>93601Q0T</v>
      </c>
      <c r="DL193" s="838" t="s">
        <v>2186</v>
      </c>
      <c r="DM193" s="838" t="s">
        <v>5831</v>
      </c>
      <c r="DN193" s="839">
        <f>IF(AV189=FALSE,0,1)</f>
        <v>1</v>
      </c>
      <c r="DX193" s="85"/>
      <c r="DY193" s="85"/>
    </row>
    <row r="194" spans="2:129" ht="19.5" customHeight="1">
      <c r="B194" s="181"/>
      <c r="C194" s="2939" t="s">
        <v>5826</v>
      </c>
      <c r="D194" s="2940"/>
      <c r="E194" s="2940"/>
      <c r="F194" s="2940"/>
      <c r="G194" s="2940"/>
      <c r="H194" s="2940"/>
      <c r="I194" s="2940"/>
      <c r="J194" s="2940"/>
      <c r="K194" s="2940"/>
      <c r="L194" s="2940"/>
      <c r="M194" s="2940"/>
      <c r="N194" s="2940"/>
      <c r="O194" s="2940"/>
      <c r="P194" s="2940"/>
      <c r="Q194" s="2940"/>
      <c r="R194" s="2940"/>
      <c r="S194" s="2940"/>
      <c r="T194" s="2940"/>
      <c r="U194" s="2940"/>
      <c r="V194" s="2940"/>
      <c r="W194" s="2940"/>
      <c r="X194" s="2940"/>
      <c r="Y194" s="2940"/>
      <c r="Z194" s="2940"/>
      <c r="AA194" s="2940"/>
      <c r="AB194" s="2940"/>
      <c r="AC194" s="2940"/>
      <c r="AD194" s="2940"/>
      <c r="AE194" s="2940"/>
      <c r="AF194" s="2940"/>
      <c r="AG194" s="2940"/>
      <c r="AH194" s="2940"/>
      <c r="AI194" s="2940"/>
      <c r="AJ194" s="2940"/>
      <c r="AK194" s="2940"/>
      <c r="AL194" s="2940"/>
      <c r="AM194" s="2940"/>
      <c r="AN194" s="2940"/>
      <c r="AO194" s="2940"/>
      <c r="AP194" s="2940"/>
      <c r="AQ194" s="2940"/>
      <c r="AR194" s="2940"/>
      <c r="AS194" s="2940"/>
      <c r="AT194" s="2941"/>
      <c r="AU194" s="171"/>
      <c r="AX194" s="114"/>
      <c r="AY194" s="544" t="s">
        <v>2369</v>
      </c>
      <c r="AZ194" s="114"/>
      <c r="BA194" s="115"/>
      <c r="BB194" s="115"/>
      <c r="BC194" s="115"/>
      <c r="BD194" s="547" t="s">
        <v>2370</v>
      </c>
      <c r="BE194" s="115"/>
      <c r="BF194" s="115"/>
      <c r="BG194" s="115"/>
      <c r="BH194" s="115"/>
      <c r="BI194" s="115"/>
      <c r="CA194" s="11"/>
      <c r="CB194" s="153"/>
      <c r="CD194" s="108"/>
      <c r="CE194" s="108"/>
      <c r="CF194" s="108"/>
      <c r="CH194" s="42"/>
      <c r="CI194" s="42"/>
      <c r="CJ194" s="42"/>
      <c r="CK194" s="42"/>
      <c r="CO194" s="2"/>
      <c r="CP194" s="43"/>
      <c r="CQ194" s="2"/>
      <c r="CR194" s="45"/>
      <c r="CS194" s="45"/>
      <c r="CT194" s="45"/>
      <c r="CU194" s="45"/>
      <c r="CV194" s="10"/>
      <c r="DE194" s="32"/>
      <c r="DH194" s="836" t="s">
        <v>2152</v>
      </c>
      <c r="DI194" s="836" t="s">
        <v>5830</v>
      </c>
      <c r="DJ194" s="836"/>
      <c r="DK194" s="836" t="str">
        <f t="shared" si="30"/>
        <v>93601Q0U</v>
      </c>
      <c r="DL194" s="838" t="s">
        <v>2186</v>
      </c>
      <c r="DM194" s="838" t="s">
        <v>5832</v>
      </c>
      <c r="DN194" s="839">
        <f>IF(AV191=FALSE,0,1)</f>
        <v>1</v>
      </c>
      <c r="DX194" s="85"/>
      <c r="DY194" s="85"/>
    </row>
    <row r="195" spans="2:129" ht="19.5" customHeight="1" thickBot="1">
      <c r="B195" s="181"/>
      <c r="C195" s="2733" t="s">
        <v>5827</v>
      </c>
      <c r="D195" s="2734"/>
      <c r="E195" s="2734"/>
      <c r="F195" s="2734"/>
      <c r="G195" s="2734"/>
      <c r="H195" s="2734"/>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4"/>
      <c r="AD195" s="2734"/>
      <c r="AE195" s="2734"/>
      <c r="AF195" s="2734"/>
      <c r="AG195" s="2734"/>
      <c r="AH195" s="2734"/>
      <c r="AI195" s="2734"/>
      <c r="AJ195" s="2734"/>
      <c r="AK195" s="2734"/>
      <c r="AL195" s="2734"/>
      <c r="AM195" s="2734"/>
      <c r="AN195" s="2734"/>
      <c r="AO195" s="2734"/>
      <c r="AP195" s="2734"/>
      <c r="AQ195" s="2734"/>
      <c r="AR195" s="2734"/>
      <c r="AS195" s="2734"/>
      <c r="AT195" s="2735"/>
      <c r="AU195" s="171"/>
      <c r="AX195" s="114"/>
      <c r="AY195" s="544" t="s">
        <v>2371</v>
      </c>
      <c r="AZ195" s="114"/>
      <c r="BA195" s="115"/>
      <c r="BB195" s="115"/>
      <c r="BC195" s="115"/>
      <c r="BD195" s="547" t="s">
        <v>2372</v>
      </c>
      <c r="BE195" s="115"/>
      <c r="BF195" s="115"/>
      <c r="BG195" s="115"/>
      <c r="BH195" s="115"/>
      <c r="BI195" s="115"/>
      <c r="CA195" s="2"/>
      <c r="CB195" s="153"/>
      <c r="CD195" s="108"/>
      <c r="CE195" s="108"/>
      <c r="CF195" s="108"/>
      <c r="CH195" s="42"/>
      <c r="CI195" s="42"/>
      <c r="CJ195" s="42"/>
      <c r="CK195" s="42"/>
      <c r="CO195" s="2"/>
      <c r="CP195" s="43"/>
      <c r="CR195" s="45"/>
      <c r="CS195" s="45"/>
      <c r="CT195" s="45"/>
      <c r="CU195" s="45"/>
      <c r="CV195" s="10"/>
      <c r="DE195" s="32"/>
      <c r="DH195" s="836"/>
      <c r="DI195" s="836"/>
      <c r="DJ195" s="836"/>
      <c r="DK195" s="836"/>
      <c r="DL195" s="838"/>
      <c r="DM195" s="838"/>
      <c r="DN195" s="839"/>
      <c r="DX195" s="85"/>
      <c r="DY195" s="85"/>
    </row>
    <row r="196" spans="2:129" ht="19.5" customHeight="1">
      <c r="B196" s="181"/>
      <c r="C196" s="134"/>
      <c r="D196" s="134"/>
      <c r="E196" s="134"/>
      <c r="F196" s="134"/>
      <c r="G196" s="134"/>
      <c r="H196" s="134"/>
      <c r="I196" s="134"/>
      <c r="J196" s="134"/>
      <c r="K196" s="134"/>
      <c r="L196" s="155"/>
      <c r="M196" s="155"/>
      <c r="N196" s="155"/>
      <c r="O196" s="185"/>
      <c r="P196" s="185"/>
      <c r="Q196" s="156"/>
      <c r="R196" s="156"/>
      <c r="S196" s="156"/>
      <c r="T196" s="156"/>
      <c r="U196" s="156"/>
      <c r="V196" s="156"/>
      <c r="W196" s="156"/>
      <c r="X196" s="156"/>
      <c r="Y196" s="157"/>
      <c r="Z196" s="157"/>
      <c r="AA196" s="157"/>
      <c r="AB196" s="157"/>
      <c r="AC196" s="157"/>
      <c r="AD196" s="157"/>
      <c r="AE196" s="157"/>
      <c r="AF196" s="157"/>
      <c r="AG196" s="156"/>
      <c r="AH196" s="156"/>
      <c r="AI196" s="156"/>
      <c r="AJ196" s="156"/>
      <c r="AK196" s="184"/>
      <c r="AL196" s="184"/>
      <c r="AM196" s="158"/>
      <c r="AN196" s="158"/>
      <c r="AO196" s="184"/>
      <c r="AP196" s="184"/>
      <c r="AQ196" s="184"/>
      <c r="AR196" s="184"/>
      <c r="AS196" s="184"/>
      <c r="AT196" s="184"/>
      <c r="AU196" s="171"/>
      <c r="AX196" s="114"/>
      <c r="AY196" s="544" t="s">
        <v>2373</v>
      </c>
      <c r="AZ196" s="114"/>
      <c r="BA196" s="115"/>
      <c r="BB196" s="115"/>
      <c r="BC196" s="115"/>
      <c r="BD196" s="547" t="s">
        <v>2374</v>
      </c>
      <c r="BE196" s="115"/>
      <c r="BF196" s="115"/>
      <c r="BG196" s="115"/>
      <c r="BH196" s="115"/>
      <c r="BI196" s="115"/>
      <c r="CA196" s="2"/>
      <c r="CD196" s="108"/>
      <c r="CE196" s="108"/>
      <c r="CF196" s="108"/>
      <c r="CH196" s="42"/>
      <c r="CI196" s="42"/>
      <c r="CJ196" s="42"/>
      <c r="CK196" s="42"/>
      <c r="CO196" s="2"/>
      <c r="CP196" s="43"/>
      <c r="CR196" s="45"/>
      <c r="CS196" s="45"/>
      <c r="CT196" s="45"/>
      <c r="CU196" s="45"/>
      <c r="CV196" s="10"/>
      <c r="DE196" s="32"/>
      <c r="DL196" s="918" t="s">
        <v>2024</v>
      </c>
      <c r="DX196" s="85"/>
      <c r="DY196" s="85"/>
    </row>
    <row r="197" spans="2:129" ht="19.5" customHeight="1">
      <c r="B197" s="181"/>
      <c r="C197" s="134"/>
      <c r="D197" s="134"/>
      <c r="E197" s="134"/>
      <c r="F197" s="134"/>
      <c r="G197" s="134"/>
      <c r="H197" s="134"/>
      <c r="I197" s="134"/>
      <c r="J197" s="134"/>
      <c r="K197" s="134"/>
      <c r="L197" s="155"/>
      <c r="M197" s="155"/>
      <c r="N197" s="155"/>
      <c r="O197" s="185"/>
      <c r="P197" s="185"/>
      <c r="Q197" s="156"/>
      <c r="R197" s="156"/>
      <c r="S197" s="156"/>
      <c r="T197" s="156"/>
      <c r="U197" s="156"/>
      <c r="V197" s="156"/>
      <c r="W197" s="156"/>
      <c r="X197" s="156"/>
      <c r="Y197" s="157"/>
      <c r="Z197" s="157"/>
      <c r="AA197" s="157"/>
      <c r="AB197" s="157"/>
      <c r="AC197" s="157"/>
      <c r="AD197" s="157"/>
      <c r="AE197" s="157"/>
      <c r="AF197" s="157"/>
      <c r="AG197" s="156"/>
      <c r="AH197" s="156"/>
      <c r="AI197" s="156"/>
      <c r="AJ197" s="156"/>
      <c r="AK197" s="184"/>
      <c r="AL197" s="184"/>
      <c r="AM197" s="158"/>
      <c r="AN197" s="158"/>
      <c r="AO197" s="184"/>
      <c r="AP197" s="184"/>
      <c r="AQ197" s="184"/>
      <c r="AR197" s="184"/>
      <c r="AS197" s="184"/>
      <c r="AT197" s="184"/>
      <c r="AU197" s="171"/>
      <c r="AX197" s="114"/>
      <c r="AY197" s="544" t="s">
        <v>2375</v>
      </c>
      <c r="AZ197" s="114"/>
      <c r="BA197" s="115"/>
      <c r="BB197" s="115"/>
      <c r="BC197" s="115"/>
      <c r="BD197" s="547" t="s">
        <v>2376</v>
      </c>
      <c r="BE197" s="115"/>
      <c r="BF197" s="115"/>
      <c r="BG197" s="115"/>
      <c r="BH197" s="115"/>
      <c r="BI197" s="115"/>
      <c r="CA197" s="2"/>
      <c r="CB197" s="153"/>
      <c r="CD197" s="108"/>
      <c r="CE197" s="108"/>
      <c r="CF197" s="108"/>
      <c r="CH197" s="42"/>
      <c r="CI197" s="42"/>
      <c r="CJ197" s="42"/>
      <c r="CK197" s="42"/>
      <c r="CO197" s="2"/>
      <c r="CP197" s="43"/>
      <c r="CR197" s="45"/>
      <c r="CS197" s="45"/>
      <c r="CT197" s="45"/>
      <c r="CU197" s="45"/>
      <c r="CV197" s="10"/>
      <c r="DE197" s="32"/>
      <c r="DX197" s="85"/>
      <c r="DY197" s="85"/>
    </row>
    <row r="198" spans="2:129" ht="19.5" customHeight="1">
      <c r="B198" s="181"/>
      <c r="C198" s="160" t="s">
        <v>852</v>
      </c>
      <c r="D198" s="126"/>
      <c r="E198" s="126"/>
      <c r="F198" s="126"/>
      <c r="G198" s="126"/>
      <c r="H198" s="126"/>
      <c r="I198" s="126"/>
      <c r="J198" s="126"/>
      <c r="K198" s="126"/>
      <c r="L198" s="126"/>
      <c r="M198" s="126"/>
      <c r="N198" s="161"/>
      <c r="O198" s="161"/>
      <c r="P198" s="161"/>
      <c r="Q198" s="161"/>
      <c r="R198" s="161"/>
      <c r="S198" s="161"/>
      <c r="T198" s="161"/>
      <c r="U198" s="161"/>
      <c r="V198" s="161"/>
      <c r="W198" s="161"/>
      <c r="X198" s="161"/>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71"/>
      <c r="AX198" s="114"/>
      <c r="AY198" s="544" t="s">
        <v>2377</v>
      </c>
      <c r="AZ198" s="114"/>
      <c r="BA198" s="115"/>
      <c r="BB198" s="115"/>
      <c r="BC198" s="115"/>
      <c r="BD198" s="547" t="s">
        <v>2378</v>
      </c>
      <c r="BE198" s="115"/>
      <c r="BF198" s="115"/>
      <c r="BG198" s="115"/>
      <c r="BH198" s="115"/>
      <c r="BI198" s="115"/>
      <c r="CA198" s="2"/>
      <c r="CD198" s="108"/>
      <c r="CE198" s="108"/>
      <c r="CF198" s="108"/>
      <c r="CH198" s="42"/>
      <c r="CI198" s="42"/>
      <c r="CJ198" s="42"/>
      <c r="CK198" s="42"/>
      <c r="CO198" s="2"/>
      <c r="CP198" s="43"/>
      <c r="CR198" s="45"/>
      <c r="CS198" s="45"/>
      <c r="CT198" s="45"/>
      <c r="CU198" s="45"/>
      <c r="CV198" s="10"/>
      <c r="DE198" s="32"/>
      <c r="DX198" s="85"/>
      <c r="DY198" s="85"/>
    </row>
    <row r="199" spans="2:129" ht="19.5" customHeight="1">
      <c r="B199" s="181"/>
      <c r="C199" s="1754" t="s">
        <v>943</v>
      </c>
      <c r="D199" s="1296"/>
      <c r="E199" s="1296"/>
      <c r="F199" s="1296"/>
      <c r="G199" s="1296"/>
      <c r="H199" s="1296"/>
      <c r="I199" s="1296"/>
      <c r="J199" s="1296"/>
      <c r="K199" s="1296"/>
      <c r="L199" s="1296"/>
      <c r="M199" s="1297"/>
      <c r="N199" s="1755" t="s">
        <v>1014</v>
      </c>
      <c r="O199" s="1755"/>
      <c r="P199" s="1755"/>
      <c r="Q199" s="1755"/>
      <c r="R199" s="1755" t="s">
        <v>3825</v>
      </c>
      <c r="S199" s="1755"/>
      <c r="T199" s="1755"/>
      <c r="U199" s="1755"/>
      <c r="V199" s="1756" t="s">
        <v>942</v>
      </c>
      <c r="W199" s="1756"/>
      <c r="X199" s="1756"/>
      <c r="Y199" s="1756"/>
      <c r="Z199" s="1756"/>
      <c r="AA199" s="1756"/>
      <c r="AB199" s="1756"/>
      <c r="AC199" s="1756"/>
      <c r="AD199" s="1756"/>
      <c r="AE199" s="1756"/>
      <c r="AF199" s="1756"/>
      <c r="AG199" s="1756"/>
      <c r="AH199" s="1756"/>
      <c r="AI199" s="1756"/>
      <c r="AJ199" s="1756"/>
      <c r="AK199" s="1756"/>
      <c r="AL199" s="1756"/>
      <c r="AM199" s="1756"/>
      <c r="AN199" s="1756"/>
      <c r="AO199" s="1756"/>
      <c r="AP199" s="1756"/>
      <c r="AQ199" s="1756"/>
      <c r="AR199" s="1756"/>
      <c r="AS199" s="1756"/>
      <c r="AT199" s="1757"/>
      <c r="AU199" s="171"/>
      <c r="AX199" s="114"/>
      <c r="AY199" s="544" t="s">
        <v>2379</v>
      </c>
      <c r="AZ199" s="114"/>
      <c r="BA199" s="115"/>
      <c r="BB199" s="115"/>
      <c r="BC199" s="115"/>
      <c r="BD199" s="547" t="s">
        <v>2380</v>
      </c>
      <c r="BE199" s="115"/>
      <c r="BF199" s="115"/>
      <c r="BG199" s="115"/>
      <c r="BH199" s="115"/>
      <c r="BI199" s="115"/>
      <c r="CA199" s="2"/>
      <c r="CD199" s="108"/>
      <c r="CE199" s="108"/>
      <c r="CF199" s="108"/>
      <c r="CH199" s="42"/>
      <c r="CI199" s="42"/>
      <c r="CJ199" s="42"/>
      <c r="CK199" s="42"/>
      <c r="CO199" s="2"/>
      <c r="CP199" s="43"/>
      <c r="CR199" s="45"/>
      <c r="CS199" s="45"/>
      <c r="CT199" s="45"/>
      <c r="CU199" s="45"/>
      <c r="CV199" s="10"/>
      <c r="DE199" s="32"/>
      <c r="DX199" s="85"/>
      <c r="DY199" s="85"/>
    </row>
    <row r="200" spans="2:129" ht="19.5" customHeight="1">
      <c r="B200" s="181"/>
      <c r="C200" s="2499" t="s">
        <v>3573</v>
      </c>
      <c r="D200" s="2500"/>
      <c r="E200" s="2500"/>
      <c r="F200" s="2500"/>
      <c r="G200" s="2500"/>
      <c r="H200" s="2500"/>
      <c r="I200" s="2500"/>
      <c r="J200" s="2500"/>
      <c r="K200" s="2500"/>
      <c r="L200" s="2500"/>
      <c r="M200" s="2500"/>
      <c r="N200" s="2501" t="s">
        <v>3826</v>
      </c>
      <c r="O200" s="2501"/>
      <c r="P200" s="2501"/>
      <c r="Q200" s="2501"/>
      <c r="R200" s="2501" t="s">
        <v>3826</v>
      </c>
      <c r="S200" s="2501"/>
      <c r="T200" s="2501"/>
      <c r="U200" s="2501"/>
      <c r="V200" s="2502" t="s">
        <v>3852</v>
      </c>
      <c r="W200" s="2503"/>
      <c r="X200" s="2503"/>
      <c r="Y200" s="2503"/>
      <c r="Z200" s="2503"/>
      <c r="AA200" s="2503"/>
      <c r="AB200" s="2503"/>
      <c r="AC200" s="2503"/>
      <c r="AD200" s="2503"/>
      <c r="AE200" s="2503"/>
      <c r="AF200" s="2503"/>
      <c r="AG200" s="2503"/>
      <c r="AH200" s="2503"/>
      <c r="AI200" s="2503"/>
      <c r="AJ200" s="2503"/>
      <c r="AK200" s="2503"/>
      <c r="AL200" s="2503"/>
      <c r="AM200" s="2503"/>
      <c r="AN200" s="2503"/>
      <c r="AO200" s="2503"/>
      <c r="AP200" s="2503"/>
      <c r="AQ200" s="2503"/>
      <c r="AR200" s="2503"/>
      <c r="AS200" s="2503"/>
      <c r="AT200" s="2503"/>
      <c r="AU200" s="171"/>
      <c r="AX200" s="114"/>
      <c r="AY200" s="544" t="s">
        <v>2381</v>
      </c>
      <c r="AZ200" s="114"/>
      <c r="BA200" s="115"/>
      <c r="BB200" s="115"/>
      <c r="BC200" s="115"/>
      <c r="BD200" s="547" t="s">
        <v>2382</v>
      </c>
      <c r="BE200" s="115"/>
      <c r="BF200" s="115"/>
      <c r="BG200" s="115"/>
      <c r="BH200" s="115"/>
      <c r="BI200" s="115"/>
      <c r="CA200" s="2"/>
      <c r="CD200" s="108"/>
      <c r="CE200" s="108"/>
      <c r="CF200" s="108"/>
      <c r="CH200" s="42"/>
      <c r="CI200" s="42"/>
      <c r="CJ200" s="42"/>
      <c r="CK200" s="42"/>
      <c r="CO200" s="2"/>
      <c r="CP200" s="43"/>
      <c r="CR200" s="45"/>
      <c r="CS200" s="45"/>
      <c r="CT200" s="45"/>
      <c r="CU200" s="45"/>
      <c r="CV200" s="10"/>
      <c r="DE200" s="32"/>
      <c r="DX200" s="85"/>
      <c r="DY200" s="85"/>
    </row>
    <row r="201" spans="2:129" ht="19.5" customHeight="1">
      <c r="B201" s="181"/>
      <c r="C201" s="2500"/>
      <c r="D201" s="2500"/>
      <c r="E201" s="2500"/>
      <c r="F201" s="2500"/>
      <c r="G201" s="2500"/>
      <c r="H201" s="2500"/>
      <c r="I201" s="2500"/>
      <c r="J201" s="2500"/>
      <c r="K201" s="2500"/>
      <c r="L201" s="2500"/>
      <c r="M201" s="2500"/>
      <c r="N201" s="2501"/>
      <c r="O201" s="2501"/>
      <c r="P201" s="2501"/>
      <c r="Q201" s="2501"/>
      <c r="R201" s="2501"/>
      <c r="S201" s="2501"/>
      <c r="T201" s="2501"/>
      <c r="U201" s="2501"/>
      <c r="V201" s="2503"/>
      <c r="W201" s="2503"/>
      <c r="X201" s="2503"/>
      <c r="Y201" s="2503"/>
      <c r="Z201" s="2503"/>
      <c r="AA201" s="2503"/>
      <c r="AB201" s="2503"/>
      <c r="AC201" s="2503"/>
      <c r="AD201" s="2503"/>
      <c r="AE201" s="2503"/>
      <c r="AF201" s="2503"/>
      <c r="AG201" s="2503"/>
      <c r="AH201" s="2503"/>
      <c r="AI201" s="2503"/>
      <c r="AJ201" s="2503"/>
      <c r="AK201" s="2503"/>
      <c r="AL201" s="2503"/>
      <c r="AM201" s="2503"/>
      <c r="AN201" s="2503"/>
      <c r="AO201" s="2503"/>
      <c r="AP201" s="2503"/>
      <c r="AQ201" s="2503"/>
      <c r="AR201" s="2503"/>
      <c r="AS201" s="2503"/>
      <c r="AT201" s="2503"/>
      <c r="AU201" s="171"/>
      <c r="AY201" s="542" t="s">
        <v>2383</v>
      </c>
      <c r="AZ201" s="114"/>
      <c r="BA201" s="115"/>
      <c r="BB201" s="115"/>
      <c r="BC201" s="115"/>
      <c r="BD201" s="547" t="s">
        <v>2384</v>
      </c>
      <c r="BE201" s="115"/>
      <c r="BF201" s="115"/>
      <c r="BG201" s="115"/>
      <c r="BH201" s="115"/>
      <c r="BI201" s="115"/>
      <c r="CA201" s="2"/>
      <c r="CD201" s="108"/>
      <c r="CE201" s="108"/>
      <c r="CF201" s="108"/>
      <c r="CH201" s="42"/>
      <c r="CI201" s="42"/>
      <c r="CJ201" s="42"/>
      <c r="CK201" s="42"/>
      <c r="CO201" s="2"/>
      <c r="CP201" s="43"/>
      <c r="CR201" s="45"/>
      <c r="CS201" s="45"/>
      <c r="CT201" s="45"/>
      <c r="CU201" s="45"/>
      <c r="CV201" s="10"/>
      <c r="DE201" s="32"/>
      <c r="DX201" s="85"/>
      <c r="DY201" s="85"/>
    </row>
    <row r="202" spans="2:129" ht="19.5" customHeight="1">
      <c r="B202" s="181"/>
      <c r="C202" s="2499" t="s">
        <v>3828</v>
      </c>
      <c r="D202" s="2499"/>
      <c r="E202" s="2499"/>
      <c r="F202" s="2499"/>
      <c r="G202" s="2499"/>
      <c r="H202" s="2499"/>
      <c r="I202" s="2499"/>
      <c r="J202" s="2499"/>
      <c r="K202" s="2499"/>
      <c r="L202" s="2499"/>
      <c r="M202" s="2499"/>
      <c r="N202" s="2504" t="s">
        <v>3826</v>
      </c>
      <c r="O202" s="2504"/>
      <c r="P202" s="2504"/>
      <c r="Q202" s="2504"/>
      <c r="R202" s="2504" t="s">
        <v>3827</v>
      </c>
      <c r="S202" s="2504"/>
      <c r="T202" s="2504"/>
      <c r="U202" s="2504"/>
      <c r="V202" s="2503"/>
      <c r="W202" s="2503"/>
      <c r="X202" s="2503"/>
      <c r="Y202" s="2503"/>
      <c r="Z202" s="2503"/>
      <c r="AA202" s="2503"/>
      <c r="AB202" s="2503"/>
      <c r="AC202" s="2503"/>
      <c r="AD202" s="2503"/>
      <c r="AE202" s="2503"/>
      <c r="AF202" s="2503"/>
      <c r="AG202" s="2503"/>
      <c r="AH202" s="2503"/>
      <c r="AI202" s="2503"/>
      <c r="AJ202" s="2503"/>
      <c r="AK202" s="2503"/>
      <c r="AL202" s="2503"/>
      <c r="AM202" s="2503"/>
      <c r="AN202" s="2503"/>
      <c r="AO202" s="2503"/>
      <c r="AP202" s="2503"/>
      <c r="AQ202" s="2503"/>
      <c r="AR202" s="2503"/>
      <c r="AS202" s="2503"/>
      <c r="AT202" s="2503"/>
      <c r="AU202" s="171"/>
      <c r="AX202" s="114" t="s">
        <v>2118</v>
      </c>
      <c r="AY202" s="542" t="s">
        <v>2385</v>
      </c>
      <c r="AZ202" s="114" t="s">
        <v>2386</v>
      </c>
      <c r="BA202" s="115"/>
      <c r="BB202" s="115"/>
      <c r="BC202" s="115"/>
      <c r="BD202" s="547" t="s">
        <v>2387</v>
      </c>
      <c r="BE202" s="115"/>
      <c r="BF202" s="115"/>
      <c r="BG202" s="115"/>
      <c r="BH202" s="115"/>
      <c r="BI202" s="115"/>
      <c r="CA202" s="2"/>
      <c r="CD202" s="108"/>
      <c r="CE202" s="108"/>
      <c r="CF202" s="108"/>
      <c r="CH202" s="42"/>
      <c r="CI202" s="42"/>
      <c r="CJ202" s="42"/>
      <c r="CK202" s="42"/>
      <c r="CO202" s="2"/>
      <c r="CP202" s="43"/>
      <c r="DE202" s="32"/>
      <c r="DX202" s="85"/>
      <c r="DY202" s="85"/>
    </row>
    <row r="203" spans="2:129" ht="19.5" customHeight="1">
      <c r="B203" s="181"/>
      <c r="C203" s="2499"/>
      <c r="D203" s="2499"/>
      <c r="E203" s="2499"/>
      <c r="F203" s="2499"/>
      <c r="G203" s="2499"/>
      <c r="H203" s="2499"/>
      <c r="I203" s="2499"/>
      <c r="J203" s="2499"/>
      <c r="K203" s="2499"/>
      <c r="L203" s="2499"/>
      <c r="M203" s="2499"/>
      <c r="N203" s="2504"/>
      <c r="O203" s="2504"/>
      <c r="P203" s="2504"/>
      <c r="Q203" s="2504"/>
      <c r="R203" s="2504"/>
      <c r="S203" s="2504"/>
      <c r="T203" s="2504"/>
      <c r="U203" s="2504"/>
      <c r="V203" s="2503"/>
      <c r="W203" s="2503"/>
      <c r="X203" s="2503"/>
      <c r="Y203" s="2503"/>
      <c r="Z203" s="2503"/>
      <c r="AA203" s="2503"/>
      <c r="AB203" s="2503"/>
      <c r="AC203" s="2503"/>
      <c r="AD203" s="2503"/>
      <c r="AE203" s="2503"/>
      <c r="AF203" s="2503"/>
      <c r="AG203" s="2503"/>
      <c r="AH203" s="2503"/>
      <c r="AI203" s="2503"/>
      <c r="AJ203" s="2503"/>
      <c r="AK203" s="2503"/>
      <c r="AL203" s="2503"/>
      <c r="AM203" s="2503"/>
      <c r="AN203" s="2503"/>
      <c r="AO203" s="2503"/>
      <c r="AP203" s="2503"/>
      <c r="AQ203" s="2503"/>
      <c r="AR203" s="2503"/>
      <c r="AS203" s="2503"/>
      <c r="AT203" s="2503"/>
      <c r="AU203" s="171"/>
      <c r="AX203" s="543" t="s">
        <v>2113</v>
      </c>
      <c r="AY203" s="542" t="s">
        <v>2388</v>
      </c>
      <c r="AZ203" s="642" t="s">
        <v>2389</v>
      </c>
      <c r="BA203" s="115"/>
      <c r="BB203" s="115"/>
      <c r="BC203" s="115"/>
      <c r="BD203" s="547" t="s">
        <v>2390</v>
      </c>
      <c r="BE203" s="115"/>
      <c r="BF203" s="115"/>
      <c r="BG203" s="115"/>
      <c r="BH203" s="115"/>
      <c r="BI203" s="115"/>
      <c r="CA203" s="2"/>
      <c r="CD203" s="108"/>
      <c r="CE203" s="108"/>
      <c r="CF203" s="108"/>
      <c r="CH203" s="42"/>
      <c r="CI203" s="42"/>
      <c r="CJ203" s="42"/>
      <c r="CK203" s="42"/>
      <c r="CO203" s="2"/>
      <c r="CP203" s="43"/>
      <c r="DE203" s="32"/>
      <c r="DX203" s="85"/>
      <c r="DY203" s="85"/>
    </row>
    <row r="204" spans="2:129" ht="19.5" customHeight="1">
      <c r="B204" s="181"/>
      <c r="C204" s="2499"/>
      <c r="D204" s="2499"/>
      <c r="E204" s="2499"/>
      <c r="F204" s="2499"/>
      <c r="G204" s="2499"/>
      <c r="H204" s="2499"/>
      <c r="I204" s="2499"/>
      <c r="J204" s="2499"/>
      <c r="K204" s="2499"/>
      <c r="L204" s="2499"/>
      <c r="M204" s="2499"/>
      <c r="N204" s="2504"/>
      <c r="O204" s="2504"/>
      <c r="P204" s="2504"/>
      <c r="Q204" s="2504"/>
      <c r="R204" s="2504"/>
      <c r="S204" s="2504"/>
      <c r="T204" s="2504"/>
      <c r="U204" s="2504"/>
      <c r="V204" s="2503"/>
      <c r="W204" s="2503"/>
      <c r="X204" s="2503"/>
      <c r="Y204" s="2503"/>
      <c r="Z204" s="2503"/>
      <c r="AA204" s="2503"/>
      <c r="AB204" s="2503"/>
      <c r="AC204" s="2503"/>
      <c r="AD204" s="2503"/>
      <c r="AE204" s="2503"/>
      <c r="AF204" s="2503"/>
      <c r="AG204" s="2503"/>
      <c r="AH204" s="2503"/>
      <c r="AI204" s="2503"/>
      <c r="AJ204" s="2503"/>
      <c r="AK204" s="2503"/>
      <c r="AL204" s="2503"/>
      <c r="AM204" s="2503"/>
      <c r="AN204" s="2503"/>
      <c r="AO204" s="2503"/>
      <c r="AP204" s="2503"/>
      <c r="AQ204" s="2503"/>
      <c r="AR204" s="2503"/>
      <c r="AS204" s="2503"/>
      <c r="AT204" s="2503"/>
      <c r="AU204" s="171"/>
      <c r="AX204" s="542" t="s">
        <v>2119</v>
      </c>
      <c r="AY204" s="542" t="s">
        <v>2391</v>
      </c>
      <c r="AZ204" s="642" t="s">
        <v>2392</v>
      </c>
      <c r="BA204" s="115"/>
      <c r="BB204" s="115"/>
      <c r="BC204" s="115"/>
      <c r="BD204" s="547" t="s">
        <v>2393</v>
      </c>
      <c r="BE204" s="115"/>
      <c r="BF204" s="115"/>
      <c r="BG204" s="115"/>
      <c r="BH204" s="115"/>
      <c r="BI204" s="115"/>
      <c r="CA204" s="2"/>
      <c r="CD204" s="108"/>
      <c r="CE204" s="108"/>
      <c r="CF204" s="108"/>
      <c r="CH204" s="42"/>
      <c r="CI204" s="42"/>
      <c r="CJ204" s="42"/>
      <c r="CK204" s="42"/>
      <c r="CO204" s="2"/>
      <c r="CP204" s="43"/>
      <c r="DE204" s="32"/>
      <c r="DX204" s="1"/>
    </row>
    <row r="205" spans="2:129" ht="19.5" customHeight="1">
      <c r="B205" s="181"/>
      <c r="C205" s="2499"/>
      <c r="D205" s="2499"/>
      <c r="E205" s="2499"/>
      <c r="F205" s="2499"/>
      <c r="G205" s="2499"/>
      <c r="H205" s="2499"/>
      <c r="I205" s="2499"/>
      <c r="J205" s="2499"/>
      <c r="K205" s="2499"/>
      <c r="L205" s="2499"/>
      <c r="M205" s="2499"/>
      <c r="N205" s="2504"/>
      <c r="O205" s="2504"/>
      <c r="P205" s="2504"/>
      <c r="Q205" s="2504"/>
      <c r="R205" s="2504"/>
      <c r="S205" s="2504"/>
      <c r="T205" s="2504"/>
      <c r="U205" s="2504"/>
      <c r="V205" s="2503"/>
      <c r="W205" s="2503"/>
      <c r="X205" s="2503"/>
      <c r="Y205" s="2503"/>
      <c r="Z205" s="2503"/>
      <c r="AA205" s="2503"/>
      <c r="AB205" s="2503"/>
      <c r="AC205" s="2503"/>
      <c r="AD205" s="2503"/>
      <c r="AE205" s="2503"/>
      <c r="AF205" s="2503"/>
      <c r="AG205" s="2503"/>
      <c r="AH205" s="2503"/>
      <c r="AI205" s="2503"/>
      <c r="AJ205" s="2503"/>
      <c r="AK205" s="2503"/>
      <c r="AL205" s="2503"/>
      <c r="AM205" s="2503"/>
      <c r="AN205" s="2503"/>
      <c r="AO205" s="2503"/>
      <c r="AP205" s="2503"/>
      <c r="AQ205" s="2503"/>
      <c r="AR205" s="2503"/>
      <c r="AS205" s="2503"/>
      <c r="AT205" s="2503"/>
      <c r="AU205" s="171"/>
      <c r="AX205" s="542" t="s">
        <v>2117</v>
      </c>
      <c r="AY205" s="542" t="s">
        <v>2394</v>
      </c>
      <c r="AZ205" s="642" t="s">
        <v>2395</v>
      </c>
      <c r="BA205" s="115"/>
      <c r="BB205" s="115"/>
      <c r="BC205" s="115"/>
      <c r="BD205" s="547" t="s">
        <v>2396</v>
      </c>
      <c r="BE205" s="115"/>
      <c r="BF205" s="115"/>
      <c r="BG205" s="115"/>
      <c r="BH205" s="115"/>
      <c r="BI205" s="115"/>
      <c r="CA205" s="2"/>
      <c r="CD205" s="108"/>
      <c r="CE205" s="108"/>
      <c r="CF205" s="108"/>
      <c r="CH205" s="42"/>
      <c r="CI205" s="42"/>
      <c r="CJ205" s="42"/>
      <c r="CK205" s="42"/>
      <c r="CO205" s="2"/>
      <c r="CP205" s="43"/>
      <c r="DE205" s="32"/>
      <c r="DX205" s="1"/>
    </row>
    <row r="206" spans="2:129" ht="19.5" customHeight="1">
      <c r="B206" s="181"/>
      <c r="C206" s="2499" t="s">
        <v>3829</v>
      </c>
      <c r="D206" s="2500"/>
      <c r="E206" s="2500"/>
      <c r="F206" s="2500"/>
      <c r="G206" s="2500"/>
      <c r="H206" s="2500"/>
      <c r="I206" s="2500"/>
      <c r="J206" s="2500"/>
      <c r="K206" s="2500"/>
      <c r="L206" s="2500"/>
      <c r="M206" s="2500"/>
      <c r="N206" s="2504" t="s">
        <v>3826</v>
      </c>
      <c r="O206" s="2504"/>
      <c r="P206" s="2504"/>
      <c r="Q206" s="2504"/>
      <c r="R206" s="2504" t="s">
        <v>3826</v>
      </c>
      <c r="S206" s="2504"/>
      <c r="T206" s="2504"/>
      <c r="U206" s="2504"/>
      <c r="V206" s="2503"/>
      <c r="W206" s="2503"/>
      <c r="X206" s="2503"/>
      <c r="Y206" s="2503"/>
      <c r="Z206" s="2503"/>
      <c r="AA206" s="2503"/>
      <c r="AB206" s="2503"/>
      <c r="AC206" s="2503"/>
      <c r="AD206" s="2503"/>
      <c r="AE206" s="2503"/>
      <c r="AF206" s="2503"/>
      <c r="AG206" s="2503"/>
      <c r="AH206" s="2503"/>
      <c r="AI206" s="2503"/>
      <c r="AJ206" s="2503"/>
      <c r="AK206" s="2503"/>
      <c r="AL206" s="2503"/>
      <c r="AM206" s="2503"/>
      <c r="AN206" s="2503"/>
      <c r="AO206" s="2503"/>
      <c r="AP206" s="2503"/>
      <c r="AQ206" s="2503"/>
      <c r="AR206" s="2503"/>
      <c r="AS206" s="2503"/>
      <c r="AT206" s="2503"/>
      <c r="AU206" s="171"/>
      <c r="AX206" s="542" t="s">
        <v>2120</v>
      </c>
      <c r="AY206" s="542" t="s">
        <v>2397</v>
      </c>
      <c r="AZ206" s="642" t="s">
        <v>2398</v>
      </c>
      <c r="BA206" s="115"/>
      <c r="BB206" s="115"/>
      <c r="BC206" s="115"/>
      <c r="BD206" s="547" t="s">
        <v>2399</v>
      </c>
      <c r="BE206" s="115"/>
      <c r="BF206" s="115"/>
      <c r="BG206" s="115"/>
      <c r="BH206" s="115"/>
      <c r="BI206" s="115"/>
      <c r="CA206" s="2"/>
      <c r="CD206" s="108"/>
      <c r="CE206" s="108"/>
      <c r="CF206" s="108"/>
      <c r="CH206" s="42"/>
      <c r="CI206" s="42"/>
      <c r="CJ206" s="42"/>
      <c r="CK206" s="42"/>
      <c r="CO206" s="2"/>
      <c r="CP206" s="43"/>
      <c r="DE206" s="32"/>
      <c r="DX206" s="1"/>
    </row>
    <row r="207" spans="2:129" ht="19.5" customHeight="1">
      <c r="B207" s="181"/>
      <c r="C207" s="2500"/>
      <c r="D207" s="2500"/>
      <c r="E207" s="2500"/>
      <c r="F207" s="2500"/>
      <c r="G207" s="2500"/>
      <c r="H207" s="2500"/>
      <c r="I207" s="2500"/>
      <c r="J207" s="2500"/>
      <c r="K207" s="2500"/>
      <c r="L207" s="2500"/>
      <c r="M207" s="2500"/>
      <c r="N207" s="2504"/>
      <c r="O207" s="2504"/>
      <c r="P207" s="2504"/>
      <c r="Q207" s="2504"/>
      <c r="R207" s="2504"/>
      <c r="S207" s="2504"/>
      <c r="T207" s="2504"/>
      <c r="U207" s="2504"/>
      <c r="V207" s="2503"/>
      <c r="W207" s="2503"/>
      <c r="X207" s="2503"/>
      <c r="Y207" s="2503"/>
      <c r="Z207" s="2503"/>
      <c r="AA207" s="2503"/>
      <c r="AB207" s="2503"/>
      <c r="AC207" s="2503"/>
      <c r="AD207" s="2503"/>
      <c r="AE207" s="2503"/>
      <c r="AF207" s="2503"/>
      <c r="AG207" s="2503"/>
      <c r="AH207" s="2503"/>
      <c r="AI207" s="2503"/>
      <c r="AJ207" s="2503"/>
      <c r="AK207" s="2503"/>
      <c r="AL207" s="2503"/>
      <c r="AM207" s="2503"/>
      <c r="AN207" s="2503"/>
      <c r="AO207" s="2503"/>
      <c r="AP207" s="2503"/>
      <c r="AQ207" s="2503"/>
      <c r="AR207" s="2503"/>
      <c r="AS207" s="2503"/>
      <c r="AT207" s="2503"/>
      <c r="AU207" s="171"/>
      <c r="AX207" s="542" t="s">
        <v>2121</v>
      </c>
      <c r="AY207" s="542" t="s">
        <v>2400</v>
      </c>
      <c r="AZ207" s="642" t="s">
        <v>2401</v>
      </c>
      <c r="BA207" s="115"/>
      <c r="BB207" s="115"/>
      <c r="BC207" s="115"/>
      <c r="BD207" s="547" t="s">
        <v>2402</v>
      </c>
      <c r="BE207" s="115"/>
      <c r="BF207" s="115"/>
      <c r="BG207" s="115"/>
      <c r="BH207" s="115"/>
      <c r="BI207" s="115"/>
      <c r="CD207" s="108"/>
      <c r="CE207" s="108"/>
      <c r="CF207" s="108"/>
      <c r="CH207" s="42"/>
      <c r="CI207" s="42"/>
      <c r="CJ207" s="42"/>
      <c r="CK207" s="42"/>
      <c r="CO207" s="2"/>
      <c r="CP207" s="43"/>
      <c r="DE207" s="32"/>
      <c r="DX207" s="1"/>
    </row>
    <row r="208" spans="2:129" ht="19.5" customHeight="1">
      <c r="B208" s="181"/>
      <c r="C208" s="2499" t="s">
        <v>3830</v>
      </c>
      <c r="D208" s="2500"/>
      <c r="E208" s="2500"/>
      <c r="F208" s="2500"/>
      <c r="G208" s="2500"/>
      <c r="H208" s="2500"/>
      <c r="I208" s="2500"/>
      <c r="J208" s="2500"/>
      <c r="K208" s="2500"/>
      <c r="L208" s="2500"/>
      <c r="M208" s="2500"/>
      <c r="N208" s="2504" t="s">
        <v>3827</v>
      </c>
      <c r="O208" s="2504"/>
      <c r="P208" s="2504"/>
      <c r="Q208" s="2504"/>
      <c r="R208" s="2504" t="s">
        <v>3826</v>
      </c>
      <c r="S208" s="2504"/>
      <c r="T208" s="2504"/>
      <c r="U208" s="2504"/>
      <c r="V208" s="2529"/>
      <c r="W208" s="2529"/>
      <c r="X208" s="2529"/>
      <c r="Y208" s="2529"/>
      <c r="Z208" s="2529"/>
      <c r="AA208" s="2529"/>
      <c r="AB208" s="2529"/>
      <c r="AC208" s="2529"/>
      <c r="AD208" s="2529"/>
      <c r="AE208" s="2529"/>
      <c r="AF208" s="2529"/>
      <c r="AG208" s="2529"/>
      <c r="AH208" s="2529"/>
      <c r="AI208" s="2529"/>
      <c r="AJ208" s="2529"/>
      <c r="AK208" s="2529"/>
      <c r="AL208" s="2529"/>
      <c r="AM208" s="2529"/>
      <c r="AN208" s="2529"/>
      <c r="AO208" s="2529"/>
      <c r="AP208" s="2529"/>
      <c r="AQ208" s="2529"/>
      <c r="AR208" s="2529"/>
      <c r="AS208" s="2529"/>
      <c r="AT208" s="2529"/>
      <c r="AU208" s="171"/>
      <c r="AX208" s="542" t="s">
        <v>2122</v>
      </c>
      <c r="AY208" s="542" t="s">
        <v>2403</v>
      </c>
      <c r="AZ208" s="642" t="s">
        <v>2404</v>
      </c>
      <c r="BA208" s="115"/>
      <c r="BB208" s="115"/>
      <c r="BC208" s="115"/>
      <c r="BD208" s="549" t="s">
        <v>2405</v>
      </c>
      <c r="BE208" s="115"/>
      <c r="BF208" s="115"/>
      <c r="BG208" s="115"/>
      <c r="BH208" s="115"/>
      <c r="BI208" s="115"/>
      <c r="CD208" s="108"/>
      <c r="CE208" s="108"/>
      <c r="CF208" s="108"/>
      <c r="CH208" s="42"/>
      <c r="CI208" s="42"/>
      <c r="CJ208" s="42"/>
      <c r="CK208" s="42"/>
      <c r="CO208" s="2"/>
      <c r="CP208" s="43"/>
      <c r="DE208" s="32"/>
      <c r="DX208" s="1"/>
    </row>
    <row r="209" spans="2:128" ht="19.5" customHeight="1">
      <c r="B209" s="181"/>
      <c r="C209" s="2500"/>
      <c r="D209" s="2500"/>
      <c r="E209" s="2500"/>
      <c r="F209" s="2500"/>
      <c r="G209" s="2500"/>
      <c r="H209" s="2500"/>
      <c r="I209" s="2500"/>
      <c r="J209" s="2500"/>
      <c r="K209" s="2500"/>
      <c r="L209" s="2500"/>
      <c r="M209" s="2500"/>
      <c r="N209" s="2504"/>
      <c r="O209" s="2504"/>
      <c r="P209" s="2504"/>
      <c r="Q209" s="2504"/>
      <c r="R209" s="2504"/>
      <c r="S209" s="2504"/>
      <c r="T209" s="2504"/>
      <c r="U209" s="2504"/>
      <c r="V209" s="2529"/>
      <c r="W209" s="2529"/>
      <c r="X209" s="2529"/>
      <c r="Y209" s="2529"/>
      <c r="Z209" s="2529"/>
      <c r="AA209" s="2529"/>
      <c r="AB209" s="2529"/>
      <c r="AC209" s="2529"/>
      <c r="AD209" s="2529"/>
      <c r="AE209" s="2529"/>
      <c r="AF209" s="2529"/>
      <c r="AG209" s="2529"/>
      <c r="AH209" s="2529"/>
      <c r="AI209" s="2529"/>
      <c r="AJ209" s="2529"/>
      <c r="AK209" s="2529"/>
      <c r="AL209" s="2529"/>
      <c r="AM209" s="2529"/>
      <c r="AN209" s="2529"/>
      <c r="AO209" s="2529"/>
      <c r="AP209" s="2529"/>
      <c r="AQ209" s="2529"/>
      <c r="AR209" s="2529"/>
      <c r="AS209" s="2529"/>
      <c r="AT209" s="2529"/>
      <c r="AU209" s="171"/>
      <c r="AX209" s="542" t="s">
        <v>2123</v>
      </c>
      <c r="AY209" s="542" t="s">
        <v>2406</v>
      </c>
      <c r="AZ209" s="642" t="s">
        <v>2407</v>
      </c>
      <c r="BA209" s="115"/>
      <c r="BB209" s="115"/>
      <c r="BC209" s="115"/>
      <c r="BD209" s="115"/>
      <c r="BE209" s="115"/>
      <c r="BF209" s="115"/>
      <c r="BG209" s="115"/>
      <c r="BH209" s="115"/>
      <c r="BI209" s="115"/>
      <c r="CD209" s="108"/>
      <c r="CE209" s="108"/>
      <c r="CF209" s="108"/>
      <c r="DE209" s="32"/>
      <c r="DX209" s="1"/>
    </row>
    <row r="210" spans="2:128" ht="19.5" customHeight="1">
      <c r="B210" s="181"/>
      <c r="C210" s="163" t="s">
        <v>950</v>
      </c>
      <c r="D210" s="163"/>
      <c r="E210" s="163"/>
      <c r="F210" s="163"/>
      <c r="G210" s="163"/>
      <c r="H210" s="163"/>
      <c r="I210" s="163"/>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71"/>
      <c r="AX210" s="542" t="s">
        <v>2124</v>
      </c>
      <c r="AY210" s="542" t="s">
        <v>2408</v>
      </c>
      <c r="AZ210" s="642" t="s">
        <v>2409</v>
      </c>
      <c r="BA210" s="115"/>
      <c r="BB210" s="115"/>
      <c r="BC210" s="115"/>
      <c r="BD210" s="115"/>
      <c r="BE210" s="115"/>
      <c r="BF210" s="115"/>
      <c r="BG210" s="115"/>
      <c r="BH210" s="115"/>
      <c r="BI210" s="115"/>
      <c r="CD210" s="108"/>
      <c r="CE210" s="108"/>
      <c r="CF210" s="108"/>
      <c r="DE210" s="32"/>
      <c r="DX210" s="1"/>
    </row>
    <row r="211" spans="2:128" ht="19.5" customHeight="1">
      <c r="B211" s="181"/>
      <c r="C211" s="163" t="s">
        <v>3831</v>
      </c>
      <c r="D211" s="163"/>
      <c r="E211" s="163"/>
      <c r="F211" s="163"/>
      <c r="G211" s="163"/>
      <c r="H211" s="163"/>
      <c r="I211" s="163"/>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71"/>
      <c r="AX211" s="542" t="s">
        <v>2125</v>
      </c>
      <c r="AY211" s="542" t="s">
        <v>2410</v>
      </c>
      <c r="AZ211" s="642" t="s">
        <v>2411</v>
      </c>
      <c r="BA211" s="115"/>
      <c r="BB211" s="115"/>
      <c r="BC211" s="115"/>
      <c r="BD211" s="115"/>
      <c r="BE211" s="115"/>
      <c r="BF211" s="115"/>
      <c r="BG211" s="115"/>
      <c r="BH211" s="115"/>
      <c r="BI211" s="115"/>
      <c r="CD211" s="108"/>
      <c r="CE211" s="108"/>
      <c r="CF211" s="108"/>
      <c r="DE211" s="32"/>
      <c r="DX211" s="1"/>
    </row>
    <row r="212" spans="2:128" ht="19.5" customHeight="1">
      <c r="B212" s="181"/>
      <c r="C212" s="163"/>
      <c r="D212" s="111"/>
      <c r="E212" s="111"/>
      <c r="F212" s="111"/>
      <c r="G212" s="111"/>
      <c r="H212" s="111"/>
      <c r="I212" s="111"/>
      <c r="J212" s="111"/>
      <c r="K212" s="111"/>
      <c r="L212" s="111"/>
      <c r="M212" s="111"/>
      <c r="N212" s="111"/>
      <c r="O212" s="111"/>
      <c r="P212" s="111"/>
      <c r="Q212" s="111"/>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38"/>
      <c r="AX212" s="542" t="s">
        <v>2126</v>
      </c>
      <c r="AY212" s="542" t="s">
        <v>2412</v>
      </c>
      <c r="AZ212" s="642" t="s">
        <v>2413</v>
      </c>
      <c r="BA212" s="115"/>
      <c r="BB212" s="115"/>
      <c r="BC212" s="115"/>
      <c r="BD212" s="115"/>
      <c r="BE212" s="115"/>
      <c r="BF212" s="115"/>
      <c r="BG212" s="115"/>
      <c r="BH212" s="115"/>
      <c r="BI212" s="115"/>
      <c r="CD212" s="108"/>
      <c r="CE212" s="108"/>
      <c r="CF212" s="108"/>
      <c r="DX212" s="1"/>
    </row>
    <row r="213" spans="2:128" ht="19.5" customHeight="1">
      <c r="B213" s="181"/>
      <c r="C213" s="2498" t="str">
        <f>IF(OR(J5="※",M5="※",P5="※",S5="※",V5="※",Y5="※"),"←記入シート1に未記入箇所がございます。お手数ですがご確認をお願いいたします。",IF(OR(AB5="※",AE5="※",AH5="※",B9="NG"),"記入シート2に未記入箇所がございます。お手数ですがご確認をお願いいたします。","ご記入ありがとうございました。SBPSにて本書を受け取り次第、お手続きを進めさせていただきます。"))</f>
        <v>←記入シート1に未記入箇所がございます。お手数ですがご確認をお願いいたします。</v>
      </c>
      <c r="D213" s="2498"/>
      <c r="E213" s="2498"/>
      <c r="F213" s="2498"/>
      <c r="G213" s="2498"/>
      <c r="H213" s="2498"/>
      <c r="I213" s="2498"/>
      <c r="J213" s="2498"/>
      <c r="K213" s="2498"/>
      <c r="L213" s="2498"/>
      <c r="M213" s="2498"/>
      <c r="N213" s="2498"/>
      <c r="O213" s="2498"/>
      <c r="P213" s="2498"/>
      <c r="Q213" s="2498"/>
      <c r="R213" s="2498"/>
      <c r="S213" s="2498"/>
      <c r="T213" s="2498"/>
      <c r="U213" s="2498"/>
      <c r="V213" s="2498"/>
      <c r="W213" s="2498"/>
      <c r="X213" s="2498"/>
      <c r="Y213" s="2498"/>
      <c r="Z213" s="2498"/>
      <c r="AA213" s="2498"/>
      <c r="AB213" s="2498"/>
      <c r="AC213" s="2498"/>
      <c r="AD213" s="2498"/>
      <c r="AE213" s="2498"/>
      <c r="AF213" s="2498"/>
      <c r="AG213" s="2498"/>
      <c r="AH213" s="2498"/>
      <c r="AI213" s="2498"/>
      <c r="AJ213" s="2498"/>
      <c r="AK213" s="2498"/>
      <c r="AL213" s="2498"/>
      <c r="AM213" s="2498"/>
      <c r="AN213" s="2498"/>
      <c r="AO213" s="2498"/>
      <c r="AP213" s="2498"/>
      <c r="AQ213" s="2498"/>
      <c r="AR213" s="2498"/>
      <c r="AS213" s="2498"/>
      <c r="AT213" s="2498"/>
      <c r="AU213" s="138"/>
      <c r="AX213" s="542" t="s">
        <v>2127</v>
      </c>
      <c r="AY213" s="542" t="s">
        <v>2414</v>
      </c>
      <c r="AZ213" s="642" t="s">
        <v>2415</v>
      </c>
      <c r="BA213" s="115"/>
      <c r="BB213" s="115"/>
      <c r="BC213" s="115"/>
      <c r="BD213" s="115"/>
      <c r="BE213" s="115"/>
      <c r="BF213" s="115"/>
      <c r="BG213" s="115"/>
      <c r="BH213" s="115"/>
      <c r="BI213" s="115"/>
      <c r="CD213" s="108"/>
      <c r="CE213" s="108"/>
      <c r="CF213" s="108"/>
      <c r="CS213" s="42"/>
      <c r="CT213" s="42"/>
      <c r="CU213" s="42"/>
      <c r="DX213" s="1"/>
    </row>
    <row r="214" spans="2:128" ht="19.5" customHeight="1">
      <c r="B214" s="181"/>
      <c r="C214" s="2498"/>
      <c r="D214" s="2498"/>
      <c r="E214" s="2498"/>
      <c r="F214" s="2498"/>
      <c r="G214" s="2498"/>
      <c r="H214" s="2498"/>
      <c r="I214" s="2498"/>
      <c r="J214" s="2498"/>
      <c r="K214" s="2498"/>
      <c r="L214" s="2498"/>
      <c r="M214" s="2498"/>
      <c r="N214" s="2498"/>
      <c r="O214" s="2498"/>
      <c r="P214" s="2498"/>
      <c r="Q214" s="2498"/>
      <c r="R214" s="2498"/>
      <c r="S214" s="2498"/>
      <c r="T214" s="2498"/>
      <c r="U214" s="2498"/>
      <c r="V214" s="2498"/>
      <c r="W214" s="2498"/>
      <c r="X214" s="2498"/>
      <c r="Y214" s="2498"/>
      <c r="Z214" s="2498"/>
      <c r="AA214" s="2498"/>
      <c r="AB214" s="2498"/>
      <c r="AC214" s="2498"/>
      <c r="AD214" s="2498"/>
      <c r="AE214" s="2498"/>
      <c r="AF214" s="2498"/>
      <c r="AG214" s="2498"/>
      <c r="AH214" s="2498"/>
      <c r="AI214" s="2498"/>
      <c r="AJ214" s="2498"/>
      <c r="AK214" s="2498"/>
      <c r="AL214" s="2498"/>
      <c r="AM214" s="2498"/>
      <c r="AN214" s="2498"/>
      <c r="AO214" s="2498"/>
      <c r="AP214" s="2498"/>
      <c r="AQ214" s="2498"/>
      <c r="AR214" s="2498"/>
      <c r="AS214" s="2498"/>
      <c r="AT214" s="2498"/>
      <c r="AU214" s="138"/>
      <c r="AX214" s="542" t="s">
        <v>2128</v>
      </c>
      <c r="AY214" s="542" t="s">
        <v>2416</v>
      </c>
      <c r="AZ214" s="642" t="s">
        <v>2417</v>
      </c>
      <c r="BA214" s="115"/>
      <c r="BB214" s="115"/>
      <c r="BC214" s="115"/>
      <c r="BD214" s="115"/>
      <c r="BE214" s="115"/>
      <c r="BF214" s="115"/>
      <c r="BG214" s="115"/>
      <c r="BH214" s="115"/>
      <c r="BI214" s="115"/>
      <c r="CD214" s="108"/>
      <c r="CE214" s="108"/>
      <c r="CF214" s="108"/>
      <c r="CS214" s="42"/>
      <c r="CT214" s="42"/>
      <c r="CU214" s="42"/>
      <c r="CV214" s="10"/>
      <c r="DX214" s="1"/>
    </row>
    <row r="215" spans="2:128" ht="19.5" customHeight="1">
      <c r="B215" s="181"/>
      <c r="C215" s="111"/>
      <c r="D215" s="111"/>
      <c r="E215" s="111"/>
      <c r="F215" s="111"/>
      <c r="G215" s="111"/>
      <c r="H215" s="111"/>
      <c r="I215" s="111"/>
      <c r="J215" s="111"/>
      <c r="K215" s="111"/>
      <c r="L215" s="111"/>
      <c r="M215" s="111"/>
      <c r="N215" s="111"/>
      <c r="O215" s="111"/>
      <c r="P215" s="111"/>
      <c r="Q215" s="111"/>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38"/>
      <c r="AX215" s="542" t="s">
        <v>2129</v>
      </c>
      <c r="AY215" s="542" t="s">
        <v>2418</v>
      </c>
      <c r="AZ215" s="642" t="s">
        <v>2419</v>
      </c>
      <c r="BA215" s="115"/>
      <c r="BB215" s="115"/>
      <c r="BC215" s="115"/>
      <c r="BD215" s="115"/>
      <c r="BE215" s="115"/>
      <c r="BF215" s="115"/>
      <c r="BG215" s="115"/>
      <c r="BH215" s="115"/>
      <c r="BI215" s="115"/>
      <c r="CD215" s="108"/>
      <c r="CE215" s="108"/>
      <c r="CF215" s="108"/>
      <c r="CS215" s="42"/>
      <c r="CT215" s="42"/>
      <c r="CU215" s="42"/>
      <c r="CV215" s="10"/>
      <c r="DX215" s="1"/>
    </row>
    <row r="216" spans="2:128" ht="19.5" customHeight="1">
      <c r="B216" s="18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67"/>
      <c r="AX216" s="542" t="s">
        <v>2130</v>
      </c>
      <c r="AY216" s="542" t="s">
        <v>2420</v>
      </c>
      <c r="AZ216" s="642" t="s">
        <v>2421</v>
      </c>
      <c r="BA216" s="115"/>
      <c r="BB216" s="115"/>
      <c r="BC216" s="115"/>
      <c r="BD216" s="115"/>
      <c r="BE216" s="115"/>
      <c r="BF216" s="115"/>
      <c r="BG216" s="115"/>
      <c r="BH216" s="115"/>
      <c r="BI216" s="115"/>
      <c r="CD216" s="108"/>
      <c r="CE216" s="108"/>
      <c r="CF216" s="108"/>
      <c r="CV216" s="10"/>
    </row>
    <row r="217" spans="2:128" ht="19.5" customHeight="1">
      <c r="B217" s="18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67"/>
      <c r="AX217" s="542" t="s">
        <v>2131</v>
      </c>
      <c r="AY217" s="542" t="s">
        <v>2422</v>
      </c>
      <c r="AZ217" s="642" t="s">
        <v>2423</v>
      </c>
      <c r="BA217" s="115"/>
      <c r="BB217" s="115"/>
      <c r="BC217" s="115"/>
      <c r="BD217" s="115"/>
      <c r="BE217" s="115"/>
      <c r="BF217" s="115"/>
      <c r="BG217" s="115"/>
      <c r="BH217" s="115"/>
      <c r="BI217" s="115"/>
      <c r="CD217" s="108"/>
      <c r="CE217" s="108"/>
      <c r="CF217" s="108"/>
    </row>
    <row r="218" spans="2:128" ht="19.5" customHeight="1">
      <c r="B218" s="187"/>
      <c r="C218" s="112"/>
      <c r="AC218" s="112"/>
      <c r="AD218" s="112"/>
      <c r="AE218" s="112"/>
      <c r="AF218" s="112"/>
      <c r="AG218" s="112"/>
      <c r="AH218" s="112"/>
      <c r="AI218" s="112"/>
      <c r="AJ218" s="112"/>
      <c r="AK218" s="112"/>
      <c r="AT218" s="141"/>
      <c r="AU218" s="550"/>
      <c r="AX218" s="542" t="s">
        <v>2132</v>
      </c>
      <c r="AY218" s="542" t="s">
        <v>2424</v>
      </c>
      <c r="AZ218" s="642" t="s">
        <v>2425</v>
      </c>
      <c r="BA218" s="115"/>
      <c r="BB218" s="115"/>
      <c r="BC218" s="115"/>
      <c r="BD218" s="115"/>
      <c r="BE218" s="115"/>
      <c r="BF218" s="115"/>
      <c r="BG218" s="115"/>
      <c r="BH218" s="115"/>
      <c r="BI218" s="115"/>
      <c r="CD218" s="108"/>
      <c r="CE218" s="108"/>
      <c r="CF218" s="108"/>
    </row>
    <row r="219" spans="2:128" ht="19.5" customHeight="1" thickBot="1">
      <c r="B219" s="551"/>
      <c r="C219" s="552"/>
      <c r="D219" s="552"/>
      <c r="E219" s="552"/>
      <c r="F219" s="552"/>
      <c r="G219" s="552"/>
      <c r="H219" s="552"/>
      <c r="I219" s="552"/>
      <c r="J219" s="552"/>
      <c r="K219" s="552"/>
      <c r="L219" s="552"/>
      <c r="M219" s="552"/>
      <c r="N219" s="552"/>
      <c r="O219" s="552"/>
      <c r="P219" s="552"/>
      <c r="Q219" s="552"/>
      <c r="R219" s="552"/>
      <c r="S219" s="552"/>
      <c r="T219" s="552"/>
      <c r="U219" s="552"/>
      <c r="V219" s="552"/>
      <c r="W219" s="552"/>
      <c r="X219" s="552"/>
      <c r="Y219" s="552"/>
      <c r="Z219" s="552"/>
      <c r="AA219" s="552"/>
      <c r="AB219" s="552"/>
      <c r="AC219" s="552"/>
      <c r="AD219" s="552"/>
      <c r="AE219" s="552"/>
      <c r="AF219" s="552"/>
      <c r="AG219" s="552"/>
      <c r="AH219" s="552"/>
      <c r="AI219" s="552"/>
      <c r="AJ219" s="552"/>
      <c r="AK219" s="552"/>
      <c r="AL219" s="552"/>
      <c r="AM219" s="552"/>
      <c r="AN219" s="552"/>
      <c r="AO219" s="552"/>
      <c r="AP219" s="552"/>
      <c r="AQ219" s="552"/>
      <c r="AR219" s="552"/>
      <c r="AS219" s="552"/>
      <c r="AT219" s="553"/>
      <c r="AU219" s="554"/>
      <c r="AX219" s="542" t="s">
        <v>2133</v>
      </c>
      <c r="AY219" s="542" t="s">
        <v>2426</v>
      </c>
      <c r="AZ219" s="642" t="s">
        <v>2427</v>
      </c>
      <c r="BA219" s="115"/>
      <c r="BB219" s="115"/>
      <c r="BC219" s="115"/>
      <c r="BD219" s="115"/>
      <c r="BE219" s="115"/>
      <c r="BF219" s="115"/>
      <c r="BG219" s="115"/>
      <c r="BH219" s="115"/>
      <c r="BI219" s="115"/>
      <c r="CD219" s="108"/>
      <c r="CE219" s="108"/>
      <c r="CF219" s="108"/>
      <c r="DX219" s="1"/>
    </row>
    <row r="220" spans="2:128" ht="19.5" customHeight="1" thickTop="1">
      <c r="C220" s="112"/>
      <c r="AC220" s="112"/>
      <c r="AD220" s="112"/>
      <c r="AE220" s="112"/>
      <c r="AF220" s="112"/>
      <c r="AG220" s="112"/>
      <c r="AH220" s="112"/>
      <c r="AI220" s="112"/>
      <c r="AJ220" s="112"/>
      <c r="AK220" s="112"/>
      <c r="AT220" s="141"/>
      <c r="AU220" s="173"/>
      <c r="AX220" s="542" t="s">
        <v>2134</v>
      </c>
      <c r="AY220" s="542" t="s">
        <v>2428</v>
      </c>
      <c r="AZ220" s="642" t="s">
        <v>2429</v>
      </c>
      <c r="BA220" s="115"/>
      <c r="BB220" s="115"/>
      <c r="BC220" s="115"/>
      <c r="BD220" s="115"/>
      <c r="BE220" s="115"/>
      <c r="BF220" s="115"/>
      <c r="BG220" s="115"/>
      <c r="BH220" s="115"/>
      <c r="BI220" s="115"/>
      <c r="CD220" s="108"/>
      <c r="CE220" s="108"/>
      <c r="CF220" s="108"/>
      <c r="CL220" s="2"/>
      <c r="CM220" s="2"/>
      <c r="CN220" s="2"/>
      <c r="DX220" s="1"/>
    </row>
    <row r="221" spans="2:128" ht="19.5" customHeight="1">
      <c r="C221" s="112"/>
      <c r="AC221" s="112"/>
      <c r="AD221" s="112"/>
      <c r="AE221" s="112"/>
      <c r="AF221" s="112"/>
      <c r="AG221" s="112"/>
      <c r="AH221" s="112"/>
      <c r="AI221" s="112"/>
      <c r="AJ221" s="112"/>
      <c r="AK221" s="112"/>
      <c r="AT221" s="141"/>
      <c r="AU221" s="173"/>
      <c r="AX221" s="542" t="s">
        <v>2135</v>
      </c>
      <c r="AY221" s="542" t="s">
        <v>2430</v>
      </c>
      <c r="AZ221" s="640" t="s">
        <v>2431</v>
      </c>
      <c r="BA221" s="115"/>
      <c r="BB221" s="115"/>
      <c r="BC221" s="115"/>
      <c r="BD221" s="115"/>
      <c r="BE221" s="115"/>
      <c r="BF221" s="115"/>
      <c r="BG221" s="115"/>
      <c r="BH221" s="115"/>
      <c r="BI221" s="115"/>
      <c r="CD221" s="108"/>
      <c r="CE221" s="108"/>
      <c r="CF221" s="108"/>
      <c r="CH221" s="3"/>
      <c r="CI221" s="3"/>
      <c r="CL221" s="2"/>
      <c r="CM221" s="2"/>
      <c r="CN221" s="2"/>
      <c r="DX221" s="1"/>
    </row>
    <row r="222" spans="2:128" ht="19.5" customHeight="1">
      <c r="C222" s="112"/>
      <c r="AC222" s="112"/>
      <c r="AD222" s="112"/>
      <c r="AE222" s="112"/>
      <c r="AF222" s="112"/>
      <c r="AG222" s="112"/>
      <c r="AH222" s="112"/>
      <c r="AI222" s="112"/>
      <c r="AJ222" s="112"/>
      <c r="AK222" s="112"/>
      <c r="AT222" s="141"/>
      <c r="AU222" s="173"/>
      <c r="AX222" s="542" t="s">
        <v>2136</v>
      </c>
      <c r="AY222" s="542" t="s">
        <v>2432</v>
      </c>
      <c r="AZ222" s="114"/>
      <c r="BA222" s="115"/>
      <c r="BB222" s="115"/>
      <c r="BC222" s="115"/>
      <c r="BD222" s="115"/>
      <c r="BE222" s="115"/>
      <c r="BF222" s="115"/>
      <c r="BG222" s="115"/>
      <c r="BH222" s="115"/>
      <c r="BI222" s="115"/>
      <c r="CD222" s="108"/>
      <c r="CE222" s="108"/>
      <c r="CF222" s="108"/>
      <c r="CH222" s="3"/>
      <c r="CI222" s="3"/>
      <c r="CL222" s="2"/>
      <c r="CM222" s="2"/>
      <c r="CN222" s="2"/>
      <c r="DX222" s="1"/>
    </row>
    <row r="223" spans="2:128" ht="19.5" customHeight="1">
      <c r="C223" s="112"/>
      <c r="AC223" s="112"/>
      <c r="AD223" s="112"/>
      <c r="AE223" s="112"/>
      <c r="AF223" s="112"/>
      <c r="AG223" s="112"/>
      <c r="AH223" s="112"/>
      <c r="AI223" s="112"/>
      <c r="AJ223" s="112"/>
      <c r="AK223" s="112"/>
      <c r="AT223" s="141"/>
      <c r="AU223" s="173"/>
      <c r="AX223" s="542" t="s">
        <v>2137</v>
      </c>
      <c r="AY223" s="542" t="s">
        <v>2433</v>
      </c>
      <c r="AZ223" s="114"/>
      <c r="BA223" s="115"/>
      <c r="BB223" s="115"/>
      <c r="BC223" s="115"/>
      <c r="BD223" s="115"/>
      <c r="BE223" s="115"/>
      <c r="BF223" s="115"/>
      <c r="BG223" s="115"/>
      <c r="BH223" s="115"/>
      <c r="BI223" s="115"/>
      <c r="CD223" s="108"/>
      <c r="CE223" s="108"/>
      <c r="CF223" s="108"/>
      <c r="CH223" s="3"/>
      <c r="CI223" s="3"/>
      <c r="DX223" s="1"/>
    </row>
    <row r="224" spans="2:128" ht="19.5" customHeight="1">
      <c r="C224" s="112"/>
      <c r="AC224" s="112"/>
      <c r="AD224" s="112"/>
      <c r="AE224" s="112"/>
      <c r="AF224" s="112"/>
      <c r="AG224" s="112"/>
      <c r="AH224" s="112"/>
      <c r="AI224" s="112"/>
      <c r="AJ224" s="112"/>
      <c r="AK224" s="112"/>
      <c r="AT224" s="141"/>
      <c r="AU224" s="173"/>
      <c r="AX224" s="542" t="s">
        <v>2138</v>
      </c>
      <c r="AY224" s="542" t="s">
        <v>2434</v>
      </c>
      <c r="AZ224" s="114"/>
      <c r="BA224" s="115"/>
      <c r="BB224" s="115"/>
      <c r="BC224" s="115"/>
      <c r="BD224" s="115"/>
      <c r="BE224" s="115"/>
      <c r="BF224" s="115"/>
      <c r="BG224" s="115"/>
      <c r="BH224" s="115"/>
      <c r="BI224" s="115"/>
      <c r="CD224" s="108"/>
      <c r="CE224" s="108"/>
      <c r="CF224" s="108"/>
      <c r="DX224" s="1"/>
    </row>
    <row r="225" spans="3:128" ht="19.5" customHeight="1">
      <c r="C225" s="112"/>
      <c r="AC225" s="112"/>
      <c r="AD225" s="112"/>
      <c r="AE225" s="112"/>
      <c r="AF225" s="112"/>
      <c r="AG225" s="112"/>
      <c r="AH225" s="112"/>
      <c r="AI225" s="112"/>
      <c r="AJ225" s="112"/>
      <c r="AK225" s="112"/>
      <c r="AT225" s="141"/>
      <c r="AU225" s="173"/>
      <c r="AX225" s="542" t="s">
        <v>2139</v>
      </c>
      <c r="AY225" s="542" t="s">
        <v>2435</v>
      </c>
      <c r="AZ225" s="114"/>
      <c r="BA225" s="115"/>
      <c r="BB225" s="115"/>
      <c r="BC225" s="115"/>
      <c r="BD225" s="115"/>
      <c r="BE225" s="115"/>
      <c r="BF225" s="115"/>
      <c r="BG225" s="115"/>
      <c r="BH225" s="115"/>
      <c r="BI225" s="115"/>
      <c r="CD225" s="108"/>
      <c r="CE225" s="108"/>
      <c r="CF225" s="108"/>
      <c r="DX225" s="1"/>
    </row>
    <row r="226" spans="3:128" ht="19.5" customHeight="1">
      <c r="C226" s="112"/>
      <c r="AC226" s="112"/>
      <c r="AD226" s="112"/>
      <c r="AE226" s="112"/>
      <c r="AF226" s="112"/>
      <c r="AG226" s="112"/>
      <c r="AH226" s="112"/>
      <c r="AI226" s="112"/>
      <c r="AJ226" s="112"/>
      <c r="AK226" s="112"/>
      <c r="AT226" s="141"/>
      <c r="AU226" s="173"/>
      <c r="AX226" s="542" t="s">
        <v>2140</v>
      </c>
      <c r="AY226" s="545" t="s">
        <v>2436</v>
      </c>
      <c r="AZ226" s="114"/>
      <c r="BA226" s="115"/>
      <c r="BB226" s="115"/>
      <c r="BC226" s="115"/>
      <c r="BD226" s="115"/>
      <c r="BE226" s="115"/>
      <c r="BF226" s="115"/>
      <c r="BG226" s="115"/>
      <c r="BH226" s="115"/>
      <c r="BI226" s="115"/>
      <c r="CD226" s="108"/>
      <c r="CE226" s="108"/>
      <c r="CF226" s="108"/>
      <c r="DX226" s="1"/>
    </row>
    <row r="227" spans="3:128" ht="19.5" customHeight="1">
      <c r="C227" s="112"/>
      <c r="AC227" s="112"/>
      <c r="AD227" s="112"/>
      <c r="AE227" s="112"/>
      <c r="AF227" s="112"/>
      <c r="AG227" s="112"/>
      <c r="AH227" s="112"/>
      <c r="AI227" s="112"/>
      <c r="AJ227" s="112"/>
      <c r="AK227" s="112"/>
      <c r="AT227" s="141"/>
      <c r="AU227" s="173"/>
      <c r="AX227" s="542" t="s">
        <v>2141</v>
      </c>
      <c r="CD227" s="108"/>
      <c r="CE227" s="108"/>
      <c r="CF227" s="108"/>
      <c r="DX227" s="1"/>
    </row>
    <row r="228" spans="3:128" ht="19.5" customHeight="1">
      <c r="C228" s="112"/>
      <c r="AC228" s="112"/>
      <c r="AD228" s="112"/>
      <c r="AE228" s="112"/>
      <c r="AF228" s="112"/>
      <c r="AG228" s="112"/>
      <c r="AH228" s="112"/>
      <c r="AI228" s="112"/>
      <c r="AJ228" s="112"/>
      <c r="AK228" s="112"/>
      <c r="AT228" s="141"/>
      <c r="AU228" s="173"/>
      <c r="AX228" s="542" t="s">
        <v>2142</v>
      </c>
      <c r="CD228" s="108"/>
      <c r="CE228" s="108"/>
      <c r="CF228" s="108"/>
      <c r="DX228" s="1"/>
    </row>
    <row r="229" spans="3:128" ht="19.5" customHeight="1">
      <c r="C229" s="112"/>
      <c r="AC229" s="112"/>
      <c r="AD229" s="112"/>
      <c r="AE229" s="112"/>
      <c r="AF229" s="112"/>
      <c r="AG229" s="112"/>
      <c r="AH229" s="112"/>
      <c r="AI229" s="112"/>
      <c r="AJ229" s="112"/>
      <c r="AK229" s="112"/>
      <c r="AT229" s="141"/>
      <c r="AU229" s="173"/>
      <c r="AX229" s="542" t="s">
        <v>2143</v>
      </c>
      <c r="CD229" s="108"/>
      <c r="CE229" s="109"/>
      <c r="DX229" s="1"/>
    </row>
    <row r="230" spans="3:128" ht="19.5" customHeight="1">
      <c r="C230" s="112"/>
      <c r="AC230" s="112"/>
      <c r="AD230" s="112"/>
      <c r="AE230" s="112"/>
      <c r="AF230" s="112"/>
      <c r="AG230" s="112"/>
      <c r="AH230" s="112"/>
      <c r="AI230" s="112"/>
      <c r="AJ230" s="112"/>
      <c r="AK230" s="112"/>
      <c r="AT230" s="141"/>
      <c r="AU230" s="173"/>
      <c r="AX230" s="542" t="s">
        <v>2144</v>
      </c>
      <c r="CD230" s="108"/>
      <c r="CE230" s="109"/>
      <c r="DX230" s="1"/>
    </row>
    <row r="231" spans="3:128" ht="19.5" customHeight="1">
      <c r="C231" s="112"/>
      <c r="AC231" s="112"/>
      <c r="AD231" s="112"/>
      <c r="AE231" s="112"/>
      <c r="AF231" s="112"/>
      <c r="AG231" s="112"/>
      <c r="AH231" s="112"/>
      <c r="AI231" s="112"/>
      <c r="AJ231" s="112"/>
      <c r="AK231" s="112"/>
      <c r="AT231" s="141"/>
      <c r="AU231" s="173"/>
      <c r="AX231" s="542" t="s">
        <v>2145</v>
      </c>
      <c r="CD231" s="108"/>
      <c r="CE231" s="109"/>
      <c r="DX231" s="1"/>
    </row>
    <row r="232" spans="3:128" ht="19.5" customHeight="1">
      <c r="C232" s="112"/>
      <c r="AC232" s="112"/>
      <c r="AD232" s="112"/>
      <c r="AE232" s="112"/>
      <c r="AF232" s="112"/>
      <c r="AG232" s="112"/>
      <c r="AH232" s="112"/>
      <c r="AI232" s="112"/>
      <c r="AJ232" s="112"/>
      <c r="AK232" s="112"/>
      <c r="AT232" s="141"/>
      <c r="AU232" s="173"/>
      <c r="AX232" s="542" t="s">
        <v>2146</v>
      </c>
      <c r="CD232" s="108"/>
      <c r="CE232" s="109"/>
      <c r="DX232" s="1"/>
    </row>
    <row r="233" spans="3:128" ht="19.5" customHeight="1">
      <c r="C233" s="112"/>
      <c r="AC233" s="112"/>
      <c r="AD233" s="112"/>
      <c r="AE233" s="112"/>
      <c r="AF233" s="112"/>
      <c r="AG233" s="112"/>
      <c r="AH233" s="112"/>
      <c r="AI233" s="112"/>
      <c r="AJ233" s="112"/>
      <c r="AK233" s="112"/>
      <c r="AT233" s="141"/>
      <c r="AU233" s="173"/>
      <c r="AX233" s="545" t="s">
        <v>2147</v>
      </c>
      <c r="CD233" s="108"/>
      <c r="CE233" s="109"/>
      <c r="DX233" s="1"/>
    </row>
    <row r="234" spans="3:128" ht="19.5" customHeight="1">
      <c r="C234" s="112"/>
      <c r="AC234" s="112"/>
      <c r="AD234" s="112"/>
      <c r="AE234" s="112"/>
      <c r="AF234" s="112"/>
      <c r="AG234" s="112"/>
      <c r="AH234" s="112"/>
      <c r="AI234" s="112"/>
      <c r="AJ234" s="112"/>
      <c r="AK234" s="112"/>
      <c r="AT234" s="141"/>
      <c r="AU234" s="173"/>
      <c r="CD234" s="662"/>
      <c r="CE234" s="663"/>
      <c r="CF234" s="664"/>
      <c r="DX234" s="1"/>
    </row>
    <row r="235" spans="3:128" ht="19.5" customHeight="1">
      <c r="C235" s="112"/>
      <c r="AC235" s="112"/>
      <c r="AD235" s="112"/>
      <c r="AE235" s="112"/>
      <c r="AF235" s="112"/>
      <c r="AG235" s="112"/>
      <c r="AH235" s="112"/>
      <c r="AI235" s="112"/>
      <c r="AJ235" s="112"/>
      <c r="AK235" s="112"/>
      <c r="AT235" s="141"/>
      <c r="AU235" s="173"/>
      <c r="AX235" s="114" t="s">
        <v>2437</v>
      </c>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7"/>
      <c r="DX235" s="1"/>
    </row>
    <row r="236" spans="3:128" ht="19.5" customHeight="1">
      <c r="C236" s="112"/>
      <c r="AC236" s="112"/>
      <c r="AD236" s="112"/>
      <c r="AE236" s="112"/>
      <c r="AF236" s="112"/>
      <c r="AG236" s="112"/>
      <c r="AH236" s="112"/>
      <c r="AI236" s="112"/>
      <c r="AJ236" s="112"/>
      <c r="AK236" s="112"/>
      <c r="AT236" s="141"/>
      <c r="AU236" s="173"/>
      <c r="AX236" s="791" t="s">
        <v>1028</v>
      </c>
      <c r="AY236" s="791" t="s">
        <v>2283</v>
      </c>
      <c r="AZ236" s="791" t="s">
        <v>3854</v>
      </c>
      <c r="BA236" s="793" t="s">
        <v>2441</v>
      </c>
      <c r="BB236" s="793" t="s">
        <v>3855</v>
      </c>
      <c r="BC236" s="793" t="s">
        <v>2444</v>
      </c>
      <c r="BD236" s="793" t="s">
        <v>2445</v>
      </c>
      <c r="BE236" s="793" t="s">
        <v>2446</v>
      </c>
      <c r="BF236" s="793" t="s">
        <v>2447</v>
      </c>
      <c r="BG236" s="793" t="s">
        <v>2448</v>
      </c>
      <c r="BH236" s="793" t="s">
        <v>2449</v>
      </c>
      <c r="BI236" s="793" t="s">
        <v>2450</v>
      </c>
      <c r="BJ236" s="793" t="s">
        <v>2452</v>
      </c>
      <c r="BK236" s="793" t="s">
        <v>2453</v>
      </c>
      <c r="BL236" s="793" t="s">
        <v>2454</v>
      </c>
      <c r="BM236" s="793" t="s">
        <v>2455</v>
      </c>
      <c r="BN236" s="793" t="s">
        <v>2456</v>
      </c>
      <c r="BO236" s="793" t="s">
        <v>2457</v>
      </c>
      <c r="BP236" s="793" t="s">
        <v>2458</v>
      </c>
      <c r="BQ236" s="793" t="s">
        <v>2459</v>
      </c>
      <c r="BR236" s="793" t="s">
        <v>2460</v>
      </c>
      <c r="BS236" s="793" t="s">
        <v>2461</v>
      </c>
      <c r="BT236" s="793" t="s">
        <v>2451</v>
      </c>
      <c r="BU236" s="793" t="s">
        <v>2462</v>
      </c>
      <c r="BV236" s="793" t="s">
        <v>2463</v>
      </c>
      <c r="BW236" s="793" t="s">
        <v>2468</v>
      </c>
      <c r="BX236" s="793" t="s">
        <v>1891</v>
      </c>
      <c r="BY236" s="115"/>
      <c r="BZ236" s="658"/>
      <c r="CA236" s="658"/>
      <c r="CB236" s="511"/>
      <c r="CC236" s="115"/>
      <c r="CD236" s="866"/>
      <c r="CE236" s="867"/>
      <c r="CF236" s="115"/>
      <c r="DX236" s="1"/>
    </row>
    <row r="237" spans="3:128" ht="19.5" customHeight="1">
      <c r="C237" s="112"/>
      <c r="AC237" s="112"/>
      <c r="AD237" s="112"/>
      <c r="AE237" s="112"/>
      <c r="AF237" s="112"/>
      <c r="AG237" s="112"/>
      <c r="AH237" s="112"/>
      <c r="AI237" s="112"/>
      <c r="AJ237" s="112"/>
      <c r="AK237" s="112"/>
      <c r="AT237" s="141"/>
      <c r="AU237" s="173"/>
      <c r="AX237" s="788" t="s">
        <v>2073</v>
      </c>
      <c r="AY237" s="796" t="s">
        <v>2073</v>
      </c>
      <c r="AZ237" s="788" t="s">
        <v>2073</v>
      </c>
      <c r="BA237" s="792" t="s">
        <v>2073</v>
      </c>
      <c r="BB237" s="868" t="s">
        <v>2073</v>
      </c>
      <c r="BC237" s="868" t="s">
        <v>2073</v>
      </c>
      <c r="BD237" s="792" t="s">
        <v>2073</v>
      </c>
      <c r="BE237" s="868" t="s">
        <v>2073</v>
      </c>
      <c r="BF237" s="868" t="s">
        <v>2073</v>
      </c>
      <c r="BG237" s="868" t="s">
        <v>2073</v>
      </c>
      <c r="BH237" s="792" t="s">
        <v>2073</v>
      </c>
      <c r="BI237" s="792" t="s">
        <v>2073</v>
      </c>
      <c r="BJ237" s="868" t="s">
        <v>2073</v>
      </c>
      <c r="BK237" s="792" t="s">
        <v>2073</v>
      </c>
      <c r="BL237" s="792" t="s">
        <v>2073</v>
      </c>
      <c r="BM237" s="792" t="s">
        <v>2073</v>
      </c>
      <c r="BN237" s="792" t="s">
        <v>2073</v>
      </c>
      <c r="BO237" s="792" t="s">
        <v>2073</v>
      </c>
      <c r="BP237" s="792" t="s">
        <v>2073</v>
      </c>
      <c r="BQ237" s="792" t="s">
        <v>2073</v>
      </c>
      <c r="BR237" s="868" t="s">
        <v>2073</v>
      </c>
      <c r="BS237" s="868" t="s">
        <v>2073</v>
      </c>
      <c r="BT237" s="792" t="s">
        <v>2073</v>
      </c>
      <c r="BU237" s="868" t="s">
        <v>2073</v>
      </c>
      <c r="BV237" s="792" t="s">
        <v>2073</v>
      </c>
      <c r="BW237" s="792" t="s">
        <v>2073</v>
      </c>
      <c r="BX237" s="869" t="s">
        <v>2073</v>
      </c>
      <c r="BY237" s="115"/>
      <c r="BZ237" s="658"/>
      <c r="CA237" s="658"/>
      <c r="CB237" s="511"/>
      <c r="CC237" s="115"/>
      <c r="CD237" s="866"/>
      <c r="CE237" s="867"/>
      <c r="CF237" s="114"/>
      <c r="DX237" s="1"/>
    </row>
    <row r="238" spans="3:128" ht="19.5" customHeight="1">
      <c r="C238" s="112"/>
      <c r="AC238" s="112"/>
      <c r="AD238" s="112"/>
      <c r="AE238" s="112"/>
      <c r="AF238" s="112"/>
      <c r="AG238" s="112"/>
      <c r="AH238" s="112"/>
      <c r="AI238" s="112"/>
      <c r="AJ238" s="112"/>
      <c r="AK238" s="112"/>
      <c r="AT238" s="141"/>
      <c r="AU238" s="173"/>
      <c r="AX238" s="542" t="s">
        <v>3856</v>
      </c>
      <c r="AY238" s="544" t="s">
        <v>3857</v>
      </c>
      <c r="AZ238" s="542" t="s">
        <v>3858</v>
      </c>
      <c r="BA238" s="547" t="s">
        <v>3859</v>
      </c>
      <c r="BB238" s="546" t="s">
        <v>3860</v>
      </c>
      <c r="BC238" s="546" t="s">
        <v>3861</v>
      </c>
      <c r="BD238" s="547" t="s">
        <v>3862</v>
      </c>
      <c r="BE238" s="546" t="s">
        <v>3863</v>
      </c>
      <c r="BF238" s="546" t="s">
        <v>3864</v>
      </c>
      <c r="BG238" s="546" t="s">
        <v>3865</v>
      </c>
      <c r="BH238" s="547" t="s">
        <v>3866</v>
      </c>
      <c r="BI238" s="547" t="s">
        <v>3867</v>
      </c>
      <c r="BJ238" s="546" t="s">
        <v>3868</v>
      </c>
      <c r="BK238" s="547" t="s">
        <v>3869</v>
      </c>
      <c r="BL238" s="547" t="s">
        <v>3870</v>
      </c>
      <c r="BM238" s="547" t="s">
        <v>3871</v>
      </c>
      <c r="BN238" s="547" t="s">
        <v>3872</v>
      </c>
      <c r="BO238" s="547" t="s">
        <v>3873</v>
      </c>
      <c r="BP238" s="549" t="s">
        <v>3874</v>
      </c>
      <c r="BQ238" s="549" t="s">
        <v>3875</v>
      </c>
      <c r="BR238" s="548" t="s">
        <v>3876</v>
      </c>
      <c r="BS238" s="546" t="s">
        <v>3877</v>
      </c>
      <c r="BT238" s="547" t="s">
        <v>3878</v>
      </c>
      <c r="BU238" s="546" t="s">
        <v>3879</v>
      </c>
      <c r="BV238" s="547" t="s">
        <v>3880</v>
      </c>
      <c r="BW238" s="547" t="s">
        <v>3881</v>
      </c>
      <c r="BX238" s="115"/>
      <c r="BY238" s="115"/>
      <c r="BZ238" s="658"/>
      <c r="CA238" s="658"/>
      <c r="CB238" s="511"/>
      <c r="CC238" s="115"/>
      <c r="CD238" s="866"/>
      <c r="CE238" s="867"/>
      <c r="CF238" s="117"/>
      <c r="DX238" s="1"/>
    </row>
    <row r="239" spans="3:128" ht="19.5" customHeight="1">
      <c r="C239" s="112"/>
      <c r="AC239" s="112"/>
      <c r="AD239" s="112"/>
      <c r="AE239" s="112"/>
      <c r="AF239" s="112"/>
      <c r="AG239" s="112"/>
      <c r="AH239" s="112"/>
      <c r="AI239" s="112"/>
      <c r="AJ239" s="112"/>
      <c r="AK239" s="112"/>
      <c r="AT239" s="141"/>
      <c r="AU239" s="173"/>
      <c r="AX239" s="542" t="s">
        <v>3882</v>
      </c>
      <c r="AY239" s="637" t="s">
        <v>3883</v>
      </c>
      <c r="AZ239" s="542" t="s">
        <v>3884</v>
      </c>
      <c r="BA239" s="547" t="s">
        <v>3885</v>
      </c>
      <c r="BB239" s="546" t="s">
        <v>3886</v>
      </c>
      <c r="BC239" s="546" t="s">
        <v>3887</v>
      </c>
      <c r="BD239" s="547" t="s">
        <v>3888</v>
      </c>
      <c r="BE239" s="546" t="s">
        <v>3889</v>
      </c>
      <c r="BF239" s="546" t="s">
        <v>3890</v>
      </c>
      <c r="BG239" s="546" t="s">
        <v>3891</v>
      </c>
      <c r="BH239" s="547" t="s">
        <v>3892</v>
      </c>
      <c r="BI239" s="547" t="s">
        <v>3893</v>
      </c>
      <c r="BJ239" s="548" t="s">
        <v>3894</v>
      </c>
      <c r="BK239" s="547" t="s">
        <v>3895</v>
      </c>
      <c r="BL239" s="547" t="s">
        <v>3896</v>
      </c>
      <c r="BM239" s="547" t="s">
        <v>3897</v>
      </c>
      <c r="BN239" s="547" t="s">
        <v>3898</v>
      </c>
      <c r="BO239" s="549" t="s">
        <v>3899</v>
      </c>
      <c r="BP239" s="115"/>
      <c r="BQ239" s="115"/>
      <c r="BR239" s="115"/>
      <c r="BS239" s="546" t="s">
        <v>3900</v>
      </c>
      <c r="BT239" s="547" t="s">
        <v>3901</v>
      </c>
      <c r="BU239" s="546" t="s">
        <v>3902</v>
      </c>
      <c r="BV239" s="547" t="s">
        <v>3903</v>
      </c>
      <c r="BW239" s="549" t="s">
        <v>3904</v>
      </c>
      <c r="BX239" s="115"/>
      <c r="BY239" s="115"/>
      <c r="BZ239" s="658"/>
      <c r="CA239" s="658"/>
      <c r="CB239" s="511"/>
      <c r="CC239" s="115"/>
      <c r="CD239" s="866"/>
      <c r="CE239" s="867"/>
      <c r="CF239" s="117"/>
      <c r="DX239" s="1"/>
    </row>
    <row r="240" spans="3:128" ht="19.5" customHeight="1">
      <c r="C240" s="112"/>
      <c r="AC240" s="112"/>
      <c r="AD240" s="112"/>
      <c r="AE240" s="112"/>
      <c r="AF240" s="112"/>
      <c r="AG240" s="112"/>
      <c r="AH240" s="112"/>
      <c r="AI240" s="112"/>
      <c r="AJ240" s="112"/>
      <c r="AK240" s="112"/>
      <c r="AU240" s="173"/>
      <c r="AX240" s="542" t="s">
        <v>3905</v>
      </c>
      <c r="AY240" s="114"/>
      <c r="AZ240" s="542" t="s">
        <v>3906</v>
      </c>
      <c r="BA240" s="547" t="s">
        <v>3907</v>
      </c>
      <c r="BB240" s="546" t="s">
        <v>3908</v>
      </c>
      <c r="BC240" s="546" t="s">
        <v>3909</v>
      </c>
      <c r="BD240" s="547" t="s">
        <v>3910</v>
      </c>
      <c r="BE240" s="546" t="s">
        <v>3911</v>
      </c>
      <c r="BF240" s="546" t="s">
        <v>3912</v>
      </c>
      <c r="BG240" s="546" t="s">
        <v>3913</v>
      </c>
      <c r="BH240" s="547" t="s">
        <v>3914</v>
      </c>
      <c r="BI240" s="547" t="s">
        <v>3915</v>
      </c>
      <c r="BJ240" s="115"/>
      <c r="BK240" s="547" t="s">
        <v>3916</v>
      </c>
      <c r="BL240" s="547" t="s">
        <v>3917</v>
      </c>
      <c r="BM240" s="547" t="s">
        <v>3918</v>
      </c>
      <c r="BN240" s="547" t="s">
        <v>3919</v>
      </c>
      <c r="BO240" s="115"/>
      <c r="BP240" s="115"/>
      <c r="BQ240" s="115"/>
      <c r="BR240" s="115"/>
      <c r="BS240" s="548" t="s">
        <v>3920</v>
      </c>
      <c r="BT240" s="547" t="s">
        <v>3921</v>
      </c>
      <c r="BU240" s="546" t="s">
        <v>3922</v>
      </c>
      <c r="BV240" s="547" t="s">
        <v>3923</v>
      </c>
      <c r="BW240" s="115"/>
      <c r="BX240" s="115"/>
      <c r="BY240" s="115"/>
      <c r="BZ240" s="658"/>
      <c r="CA240" s="658"/>
      <c r="CB240" s="511"/>
      <c r="CC240" s="115"/>
      <c r="CD240" s="866"/>
      <c r="CE240" s="867"/>
      <c r="CF240" s="117"/>
      <c r="DX240" s="1"/>
    </row>
    <row r="241" spans="3:128" ht="19.5" customHeight="1">
      <c r="C241" s="112"/>
      <c r="AC241" s="112"/>
      <c r="AD241" s="112"/>
      <c r="AE241" s="112"/>
      <c r="AF241" s="112"/>
      <c r="AG241" s="112"/>
      <c r="AH241" s="112"/>
      <c r="AI241" s="112"/>
      <c r="AJ241" s="112"/>
      <c r="AK241" s="112"/>
      <c r="AU241" s="173"/>
      <c r="AX241" s="542" t="s">
        <v>3924</v>
      </c>
      <c r="AY241" s="114"/>
      <c r="AZ241" s="542" t="s">
        <v>3925</v>
      </c>
      <c r="BA241" s="547" t="s">
        <v>3926</v>
      </c>
      <c r="BB241" s="548" t="s">
        <v>3927</v>
      </c>
      <c r="BC241" s="546" t="s">
        <v>3928</v>
      </c>
      <c r="BD241" s="547" t="s">
        <v>3929</v>
      </c>
      <c r="BE241" s="546" t="s">
        <v>3930</v>
      </c>
      <c r="BF241" s="546" t="s">
        <v>3931</v>
      </c>
      <c r="BG241" s="546" t="s">
        <v>3932</v>
      </c>
      <c r="BH241" s="547" t="s">
        <v>3933</v>
      </c>
      <c r="BI241" s="547" t="s">
        <v>3934</v>
      </c>
      <c r="BJ241" s="115"/>
      <c r="BK241" s="547" t="s">
        <v>3935</v>
      </c>
      <c r="BL241" s="547" t="s">
        <v>3936</v>
      </c>
      <c r="BM241" s="547" t="s">
        <v>3937</v>
      </c>
      <c r="BN241" s="547" t="s">
        <v>3938</v>
      </c>
      <c r="BO241" s="115"/>
      <c r="BP241" s="115"/>
      <c r="BQ241" s="115"/>
      <c r="BR241" s="115"/>
      <c r="BS241" s="115"/>
      <c r="BT241" s="547" t="s">
        <v>3939</v>
      </c>
      <c r="BU241" s="548" t="s">
        <v>3940</v>
      </c>
      <c r="BV241" s="547" t="s">
        <v>3941</v>
      </c>
      <c r="BW241" s="115"/>
      <c r="BX241" s="115"/>
      <c r="BY241" s="115"/>
      <c r="BZ241" s="658"/>
      <c r="CA241" s="658"/>
      <c r="CB241" s="511"/>
      <c r="CC241" s="115"/>
      <c r="CD241" s="866"/>
      <c r="CE241" s="116"/>
      <c r="CF241" s="117"/>
      <c r="DX241" s="1"/>
    </row>
    <row r="242" spans="3:128" ht="19.5" customHeight="1">
      <c r="C242" s="112"/>
      <c r="AC242" s="112"/>
      <c r="AD242" s="112"/>
      <c r="AE242" s="112"/>
      <c r="AF242" s="112"/>
      <c r="AG242" s="112"/>
      <c r="AH242" s="112"/>
      <c r="AI242" s="112"/>
      <c r="AJ242" s="112"/>
      <c r="AK242" s="112"/>
      <c r="AU242" s="173"/>
      <c r="AX242" s="542" t="s">
        <v>3942</v>
      </c>
      <c r="AY242" s="114"/>
      <c r="AZ242" s="542" t="s">
        <v>3943</v>
      </c>
      <c r="BA242" s="549" t="s">
        <v>3944</v>
      </c>
      <c r="BB242" s="115"/>
      <c r="BC242" s="546" t="s">
        <v>3945</v>
      </c>
      <c r="BD242" s="547" t="s">
        <v>3946</v>
      </c>
      <c r="BE242" s="548" t="s">
        <v>3947</v>
      </c>
      <c r="BF242" s="546" t="s">
        <v>3948</v>
      </c>
      <c r="BG242" s="546" t="s">
        <v>3949</v>
      </c>
      <c r="BH242" s="547" t="s">
        <v>3950</v>
      </c>
      <c r="BI242" s="547" t="s">
        <v>3951</v>
      </c>
      <c r="BJ242" s="115"/>
      <c r="BK242" s="547" t="s">
        <v>3952</v>
      </c>
      <c r="BL242" s="547" t="s">
        <v>3953</v>
      </c>
      <c r="BM242" s="547" t="s">
        <v>3954</v>
      </c>
      <c r="BN242" s="547" t="s">
        <v>3955</v>
      </c>
      <c r="BO242" s="115"/>
      <c r="BP242" s="115"/>
      <c r="BQ242" s="115"/>
      <c r="BR242" s="115"/>
      <c r="BS242" s="115"/>
      <c r="BT242" s="549" t="s">
        <v>3956</v>
      </c>
      <c r="BU242" s="115"/>
      <c r="BV242" s="547" t="s">
        <v>3957</v>
      </c>
      <c r="BW242" s="115"/>
      <c r="BX242" s="115"/>
      <c r="BY242" s="115"/>
      <c r="BZ242" s="658"/>
      <c r="CA242" s="658"/>
      <c r="CB242" s="511"/>
      <c r="CC242" s="115"/>
      <c r="CD242" s="117"/>
      <c r="CE242" s="117"/>
      <c r="CF242" s="117"/>
      <c r="DX242" s="1"/>
    </row>
    <row r="243" spans="3:128" ht="19.5" customHeight="1">
      <c r="C243" s="112"/>
      <c r="AC243" s="112"/>
      <c r="AD243" s="112"/>
      <c r="AE243" s="112"/>
      <c r="AF243" s="112"/>
      <c r="AG243" s="112"/>
      <c r="AH243" s="112"/>
      <c r="AI243" s="112"/>
      <c r="AJ243" s="112"/>
      <c r="AK243" s="112"/>
      <c r="AU243" s="173"/>
      <c r="AX243" s="542" t="s">
        <v>3958</v>
      </c>
      <c r="AY243" s="114"/>
      <c r="AZ243" s="542" t="s">
        <v>3959</v>
      </c>
      <c r="BA243" s="115"/>
      <c r="BB243" s="115"/>
      <c r="BC243" s="546" t="s">
        <v>3960</v>
      </c>
      <c r="BD243" s="547" t="s">
        <v>3961</v>
      </c>
      <c r="BE243" s="115"/>
      <c r="BF243" s="546" t="s">
        <v>3962</v>
      </c>
      <c r="BG243" s="546" t="s">
        <v>3963</v>
      </c>
      <c r="BH243" s="547" t="s">
        <v>3964</v>
      </c>
      <c r="BI243" s="549" t="s">
        <v>3965</v>
      </c>
      <c r="BJ243" s="115"/>
      <c r="BK243" s="547" t="s">
        <v>3966</v>
      </c>
      <c r="BL243" s="547" t="s">
        <v>3967</v>
      </c>
      <c r="BM243" s="547" t="s">
        <v>3968</v>
      </c>
      <c r="BN243" s="547" t="s">
        <v>3969</v>
      </c>
      <c r="BO243" s="115"/>
      <c r="BP243" s="115"/>
      <c r="BQ243" s="115"/>
      <c r="BR243" s="115"/>
      <c r="BS243" s="115"/>
      <c r="BT243" s="115"/>
      <c r="BU243" s="115"/>
      <c r="BV243" s="549" t="s">
        <v>3970</v>
      </c>
      <c r="BW243" s="115"/>
      <c r="BX243" s="115"/>
      <c r="BY243" s="115"/>
      <c r="BZ243" s="658"/>
      <c r="CA243" s="658"/>
      <c r="CB243" s="511"/>
      <c r="CC243" s="115"/>
      <c r="CD243" s="117"/>
      <c r="CE243" s="117"/>
      <c r="CF243" s="117"/>
      <c r="DX243" s="1"/>
    </row>
    <row r="244" spans="3:128" ht="19.5" customHeight="1">
      <c r="C244" s="112"/>
      <c r="AC244" s="112"/>
      <c r="AD244" s="112"/>
      <c r="AE244" s="112"/>
      <c r="AF244" s="112"/>
      <c r="AG244" s="112"/>
      <c r="AH244" s="112"/>
      <c r="AI244" s="112"/>
      <c r="AJ244" s="112"/>
      <c r="AK244" s="112"/>
      <c r="AU244" s="173"/>
      <c r="AX244" s="542" t="s">
        <v>3971</v>
      </c>
      <c r="AY244" s="114"/>
      <c r="AZ244" s="542" t="s">
        <v>3972</v>
      </c>
      <c r="BA244" s="115"/>
      <c r="BB244" s="115"/>
      <c r="BC244" s="548" t="s">
        <v>3973</v>
      </c>
      <c r="BD244" s="547" t="s">
        <v>3974</v>
      </c>
      <c r="BE244" s="115"/>
      <c r="BF244" s="546" t="s">
        <v>3975</v>
      </c>
      <c r="BG244" s="546" t="s">
        <v>3976</v>
      </c>
      <c r="BH244" s="547" t="s">
        <v>3977</v>
      </c>
      <c r="BI244" s="115"/>
      <c r="BJ244" s="115"/>
      <c r="BK244" s="547" t="s">
        <v>3978</v>
      </c>
      <c r="BL244" s="547" t="s">
        <v>3979</v>
      </c>
      <c r="BM244" s="549" t="s">
        <v>3980</v>
      </c>
      <c r="BN244" s="549" t="s">
        <v>3981</v>
      </c>
      <c r="BO244" s="115"/>
      <c r="BP244" s="115"/>
      <c r="BQ244" s="115"/>
      <c r="BR244" s="115"/>
      <c r="BS244" s="115"/>
      <c r="BT244" s="115"/>
      <c r="BU244" s="115"/>
      <c r="BV244" s="115"/>
      <c r="BW244" s="115"/>
      <c r="BX244" s="115"/>
      <c r="BY244" s="115"/>
      <c r="BZ244" s="658"/>
      <c r="CA244" s="658"/>
      <c r="CB244" s="511"/>
      <c r="CC244" s="115"/>
      <c r="CD244" s="117"/>
      <c r="CE244" s="659"/>
      <c r="CF244" s="117"/>
      <c r="DX244" s="1"/>
    </row>
    <row r="245" spans="3:128" ht="19.5" customHeight="1">
      <c r="C245" s="112"/>
      <c r="AC245" s="112"/>
      <c r="AD245" s="112"/>
      <c r="AE245" s="112"/>
      <c r="AF245" s="112"/>
      <c r="AG245" s="112"/>
      <c r="AH245" s="112"/>
      <c r="AI245" s="112"/>
      <c r="AJ245" s="112"/>
      <c r="AK245" s="112"/>
      <c r="AU245" s="173"/>
      <c r="AX245" s="542" t="s">
        <v>3982</v>
      </c>
      <c r="AY245" s="114"/>
      <c r="AZ245" s="542" t="s">
        <v>3983</v>
      </c>
      <c r="BA245" s="115"/>
      <c r="BB245" s="115"/>
      <c r="BC245" s="115"/>
      <c r="BD245" s="549" t="s">
        <v>3984</v>
      </c>
      <c r="BE245" s="115"/>
      <c r="BF245" s="548" t="s">
        <v>3985</v>
      </c>
      <c r="BG245" s="546" t="s">
        <v>3986</v>
      </c>
      <c r="BH245" s="547" t="s">
        <v>3987</v>
      </c>
      <c r="BI245" s="115"/>
      <c r="BJ245" s="115"/>
      <c r="BK245" s="547" t="s">
        <v>3988</v>
      </c>
      <c r="BL245" s="547" t="s">
        <v>3989</v>
      </c>
      <c r="BM245" s="115"/>
      <c r="BN245" s="115"/>
      <c r="BO245" s="115"/>
      <c r="BP245" s="115"/>
      <c r="BQ245" s="115"/>
      <c r="BR245" s="115"/>
      <c r="BS245" s="115"/>
      <c r="BT245" s="115"/>
      <c r="BU245" s="115"/>
      <c r="BV245" s="115"/>
      <c r="BW245" s="115"/>
      <c r="BX245" s="115"/>
      <c r="BY245" s="115"/>
      <c r="BZ245" s="658"/>
      <c r="CA245" s="658"/>
      <c r="CB245" s="511"/>
      <c r="CC245" s="115"/>
      <c r="CD245" s="306"/>
      <c r="CE245" s="306"/>
      <c r="CF245" s="660"/>
      <c r="DX245" s="1"/>
    </row>
    <row r="246" spans="3:128" ht="19.5" customHeight="1">
      <c r="C246" s="112"/>
      <c r="AC246" s="112"/>
      <c r="AD246" s="112"/>
      <c r="AE246" s="112"/>
      <c r="AF246" s="112"/>
      <c r="AG246" s="112"/>
      <c r="AH246" s="112"/>
      <c r="AI246" s="112"/>
      <c r="AJ246" s="112"/>
      <c r="AK246" s="112"/>
      <c r="AU246" s="173"/>
      <c r="AX246" s="542" t="s">
        <v>3990</v>
      </c>
      <c r="AY246" s="114"/>
      <c r="AZ246" s="542" t="s">
        <v>3991</v>
      </c>
      <c r="BA246" s="115"/>
      <c r="BB246" s="115"/>
      <c r="BC246" s="115"/>
      <c r="BD246" s="115"/>
      <c r="BE246" s="115"/>
      <c r="BF246" s="115"/>
      <c r="BG246" s="546" t="s">
        <v>3992</v>
      </c>
      <c r="BH246" s="547" t="s">
        <v>3993</v>
      </c>
      <c r="BI246" s="115"/>
      <c r="BJ246" s="115"/>
      <c r="BK246" s="547" t="s">
        <v>3994</v>
      </c>
      <c r="BL246" s="547" t="s">
        <v>3995</v>
      </c>
      <c r="BM246" s="115"/>
      <c r="BN246" s="115"/>
      <c r="BO246" s="115"/>
      <c r="BP246" s="115"/>
      <c r="BQ246" s="115"/>
      <c r="BR246" s="115"/>
      <c r="BS246" s="115"/>
      <c r="BT246" s="115"/>
      <c r="BU246" s="115"/>
      <c r="BV246" s="115"/>
      <c r="BW246" s="115"/>
      <c r="BX246" s="115"/>
      <c r="BY246" s="115"/>
      <c r="BZ246" s="658"/>
      <c r="CA246" s="658"/>
      <c r="CB246" s="511"/>
      <c r="CC246" s="115"/>
      <c r="CD246" s="306"/>
      <c r="CE246" s="306"/>
      <c r="CF246" s="660"/>
      <c r="DX246" s="1"/>
    </row>
    <row r="247" spans="3:128" ht="19.5" customHeight="1">
      <c r="C247" s="112"/>
      <c r="AC247" s="112"/>
      <c r="AD247" s="112"/>
      <c r="AE247" s="112"/>
      <c r="AF247" s="112"/>
      <c r="AG247" s="112"/>
      <c r="AH247" s="112"/>
      <c r="AI247" s="112"/>
      <c r="AJ247" s="112"/>
      <c r="AK247" s="112"/>
      <c r="AU247" s="173"/>
      <c r="AX247" s="542" t="s">
        <v>3996</v>
      </c>
      <c r="AY247" s="114"/>
      <c r="AZ247" s="542" t="s">
        <v>3997</v>
      </c>
      <c r="BA247" s="115"/>
      <c r="BB247" s="115"/>
      <c r="BC247" s="115"/>
      <c r="BD247" s="115"/>
      <c r="BE247" s="115"/>
      <c r="BF247" s="115"/>
      <c r="BG247" s="546" t="s">
        <v>3998</v>
      </c>
      <c r="BH247" s="547" t="s">
        <v>3999</v>
      </c>
      <c r="BI247" s="115"/>
      <c r="BJ247" s="115"/>
      <c r="BK247" s="547" t="s">
        <v>4000</v>
      </c>
      <c r="BL247" s="547" t="s">
        <v>4001</v>
      </c>
      <c r="BM247" s="115"/>
      <c r="BN247" s="115"/>
      <c r="BO247" s="115"/>
      <c r="BP247" s="115"/>
      <c r="BQ247" s="115"/>
      <c r="BR247" s="115"/>
      <c r="BS247" s="115"/>
      <c r="BT247" s="115"/>
      <c r="BU247" s="115"/>
      <c r="BV247" s="115"/>
      <c r="BW247" s="115"/>
      <c r="BX247" s="115"/>
      <c r="BY247" s="115"/>
      <c r="BZ247" s="658"/>
      <c r="CA247" s="658"/>
      <c r="CB247" s="511"/>
      <c r="CC247" s="115"/>
      <c r="CD247" s="306"/>
      <c r="CE247" s="306"/>
      <c r="CF247" s="660"/>
      <c r="DX247" s="1"/>
    </row>
    <row r="248" spans="3:128" ht="19.5" customHeight="1">
      <c r="C248" s="112"/>
      <c r="AC248" s="112"/>
      <c r="AD248" s="112"/>
      <c r="AE248" s="112"/>
      <c r="AF248" s="112"/>
      <c r="AG248" s="112"/>
      <c r="AH248" s="112"/>
      <c r="AI248" s="112"/>
      <c r="AJ248" s="112"/>
      <c r="AK248" s="112"/>
      <c r="AU248" s="173"/>
      <c r="AX248" s="542" t="s">
        <v>4002</v>
      </c>
      <c r="AY248" s="114"/>
      <c r="AZ248" s="542" t="s">
        <v>4003</v>
      </c>
      <c r="BA248" s="115"/>
      <c r="BB248" s="115"/>
      <c r="BC248" s="115"/>
      <c r="BD248" s="115"/>
      <c r="BE248" s="115"/>
      <c r="BF248" s="115"/>
      <c r="BG248" s="546" t="s">
        <v>4004</v>
      </c>
      <c r="BH248" s="547" t="s">
        <v>4005</v>
      </c>
      <c r="BI248" s="115"/>
      <c r="BJ248" s="115"/>
      <c r="BK248" s="547" t="s">
        <v>4006</v>
      </c>
      <c r="BL248" s="547" t="s">
        <v>4007</v>
      </c>
      <c r="BM248" s="115"/>
      <c r="BN248" s="115"/>
      <c r="BO248" s="115"/>
      <c r="BP248" s="115"/>
      <c r="BQ248" s="115"/>
      <c r="BR248" s="115"/>
      <c r="BS248" s="115"/>
      <c r="BT248" s="115"/>
      <c r="BU248" s="115"/>
      <c r="BV248" s="115"/>
      <c r="BW248" s="115"/>
      <c r="BX248" s="115"/>
      <c r="BY248" s="115"/>
      <c r="BZ248" s="658"/>
      <c r="CA248" s="658"/>
      <c r="CB248" s="511"/>
      <c r="CC248" s="115"/>
      <c r="CD248" s="306"/>
      <c r="CE248" s="306"/>
      <c r="CF248" s="660"/>
      <c r="DX248" s="1"/>
    </row>
    <row r="249" spans="3:128" ht="19.5" customHeight="1">
      <c r="C249" s="112"/>
      <c r="AC249" s="112"/>
      <c r="AD249" s="112"/>
      <c r="AE249" s="112"/>
      <c r="AF249" s="112"/>
      <c r="AG249" s="112"/>
      <c r="AH249" s="112"/>
      <c r="AI249" s="112"/>
      <c r="AJ249" s="112"/>
      <c r="AK249" s="112"/>
      <c r="AU249" s="173"/>
      <c r="AX249" s="542" t="s">
        <v>4008</v>
      </c>
      <c r="AY249" s="114"/>
      <c r="AZ249" s="542" t="s">
        <v>4009</v>
      </c>
      <c r="BA249" s="115"/>
      <c r="BB249" s="115"/>
      <c r="BC249" s="115"/>
      <c r="BD249" s="115"/>
      <c r="BE249" s="115"/>
      <c r="BF249" s="115"/>
      <c r="BG249" s="546" t="s">
        <v>4010</v>
      </c>
      <c r="BH249" s="547" t="s">
        <v>4011</v>
      </c>
      <c r="BI249" s="115"/>
      <c r="BJ249" s="115"/>
      <c r="BK249" s="547" t="s">
        <v>4012</v>
      </c>
      <c r="BL249" s="549" t="s">
        <v>4013</v>
      </c>
      <c r="BM249" s="115"/>
      <c r="BN249" s="115"/>
      <c r="BO249" s="115"/>
      <c r="BP249" s="115"/>
      <c r="BQ249" s="115"/>
      <c r="BR249" s="115"/>
      <c r="BS249" s="115"/>
      <c r="BT249" s="115"/>
      <c r="BU249" s="115"/>
      <c r="BV249" s="115"/>
      <c r="BW249" s="115"/>
      <c r="BX249" s="115"/>
      <c r="BY249" s="115"/>
      <c r="BZ249" s="658"/>
      <c r="CA249" s="658"/>
      <c r="CB249" s="511"/>
      <c r="CC249" s="115"/>
      <c r="CD249" s="306"/>
      <c r="CE249" s="306"/>
      <c r="CF249" s="660"/>
      <c r="DX249" s="1"/>
    </row>
    <row r="250" spans="3:128" ht="19.5" customHeight="1">
      <c r="C250" s="112"/>
      <c r="AC250" s="112"/>
      <c r="AD250" s="112"/>
      <c r="AE250" s="112"/>
      <c r="AF250" s="112"/>
      <c r="AG250" s="112"/>
      <c r="AH250" s="112"/>
      <c r="AI250" s="112"/>
      <c r="AJ250" s="112"/>
      <c r="AK250" s="112"/>
      <c r="AU250" s="173"/>
      <c r="AX250" s="542" t="s">
        <v>4014</v>
      </c>
      <c r="AY250" s="114"/>
      <c r="AZ250" s="542" t="s">
        <v>4015</v>
      </c>
      <c r="BA250" s="115"/>
      <c r="BB250" s="115"/>
      <c r="BC250" s="115"/>
      <c r="BD250" s="115"/>
      <c r="BE250" s="115"/>
      <c r="BF250" s="115"/>
      <c r="BG250" s="546" t="s">
        <v>4016</v>
      </c>
      <c r="BH250" s="547" t="s">
        <v>4017</v>
      </c>
      <c r="BI250" s="115"/>
      <c r="BJ250" s="115"/>
      <c r="BK250" s="547" t="s">
        <v>4018</v>
      </c>
      <c r="BL250" s="115"/>
      <c r="BM250" s="115"/>
      <c r="BN250" s="115"/>
      <c r="BO250" s="115"/>
      <c r="BP250" s="115"/>
      <c r="BQ250" s="115"/>
      <c r="BR250" s="115"/>
      <c r="BS250" s="115"/>
      <c r="BT250" s="115"/>
      <c r="BU250" s="115"/>
      <c r="BV250" s="115"/>
      <c r="BW250" s="115"/>
      <c r="BX250" s="115"/>
      <c r="BY250" s="115"/>
      <c r="BZ250" s="658"/>
      <c r="CA250" s="658"/>
      <c r="CB250" s="511"/>
      <c r="CC250" s="115"/>
      <c r="CD250" s="306"/>
      <c r="CE250" s="306"/>
      <c r="CF250" s="660"/>
      <c r="DX250" s="1"/>
    </row>
    <row r="251" spans="3:128" ht="19.5" customHeight="1">
      <c r="C251" s="112"/>
      <c r="AC251" s="112"/>
      <c r="AD251" s="112"/>
      <c r="AE251" s="112"/>
      <c r="AF251" s="112"/>
      <c r="AG251" s="112"/>
      <c r="AH251" s="112"/>
      <c r="AI251" s="112"/>
      <c r="AJ251" s="112"/>
      <c r="AK251" s="112"/>
      <c r="AU251" s="173"/>
      <c r="AX251" s="542" t="s">
        <v>4019</v>
      </c>
      <c r="AY251" s="114"/>
      <c r="AZ251" s="542" t="s">
        <v>4020</v>
      </c>
      <c r="BA251" s="115"/>
      <c r="BB251" s="115"/>
      <c r="BC251" s="115"/>
      <c r="BD251" s="115"/>
      <c r="BE251" s="115"/>
      <c r="BF251" s="115"/>
      <c r="BG251" s="546" t="s">
        <v>4021</v>
      </c>
      <c r="BH251" s="547" t="s">
        <v>4022</v>
      </c>
      <c r="BI251" s="115"/>
      <c r="BJ251" s="115"/>
      <c r="BK251" s="547" t="s">
        <v>4023</v>
      </c>
      <c r="BL251" s="115"/>
      <c r="BM251" s="115"/>
      <c r="BN251" s="115"/>
      <c r="BO251" s="115"/>
      <c r="BP251" s="115"/>
      <c r="BQ251" s="115"/>
      <c r="BR251" s="115"/>
      <c r="BS251" s="115"/>
      <c r="BT251" s="115"/>
      <c r="BU251" s="115"/>
      <c r="BV251" s="115"/>
      <c r="BW251" s="115"/>
      <c r="BX251" s="115"/>
      <c r="BY251" s="115"/>
      <c r="BZ251" s="658"/>
      <c r="CA251" s="658"/>
      <c r="CB251" s="511"/>
      <c r="CC251" s="115"/>
      <c r="CD251" s="117"/>
      <c r="CE251" s="659"/>
      <c r="CF251" s="117"/>
      <c r="DX251" s="1"/>
    </row>
    <row r="252" spans="3:128" ht="19.5" customHeight="1">
      <c r="C252" s="112"/>
      <c r="AC252" s="112"/>
      <c r="AD252" s="112"/>
      <c r="AE252" s="112"/>
      <c r="AF252" s="112"/>
      <c r="AG252" s="112"/>
      <c r="AH252" s="112"/>
      <c r="AI252" s="112"/>
      <c r="AJ252" s="112"/>
      <c r="AK252" s="112"/>
      <c r="AU252" s="173"/>
      <c r="AX252" s="542" t="s">
        <v>4024</v>
      </c>
      <c r="AY252" s="114"/>
      <c r="AZ252" s="542" t="s">
        <v>4025</v>
      </c>
      <c r="BA252" s="115"/>
      <c r="BB252" s="115"/>
      <c r="BC252" s="115"/>
      <c r="BD252" s="115"/>
      <c r="BE252" s="115"/>
      <c r="BF252" s="115"/>
      <c r="BG252" s="546" t="s">
        <v>4026</v>
      </c>
      <c r="BH252" s="547" t="s">
        <v>4027</v>
      </c>
      <c r="BI252" s="115"/>
      <c r="BJ252" s="115"/>
      <c r="BK252" s="547" t="s">
        <v>4028</v>
      </c>
      <c r="BL252" s="115"/>
      <c r="BM252" s="115"/>
      <c r="BN252" s="115"/>
      <c r="BO252" s="115"/>
      <c r="BP252" s="115"/>
      <c r="BQ252" s="115"/>
      <c r="BR252" s="115"/>
      <c r="BS252" s="115"/>
      <c r="BT252" s="115"/>
      <c r="BU252" s="115"/>
      <c r="BV252" s="115"/>
      <c r="BW252" s="115"/>
      <c r="BX252" s="115"/>
      <c r="BY252" s="115"/>
      <c r="BZ252" s="658"/>
      <c r="CA252" s="658"/>
      <c r="CB252" s="511"/>
      <c r="CC252" s="115"/>
      <c r="CD252" s="117"/>
      <c r="CE252" s="659"/>
      <c r="CF252" s="117"/>
      <c r="DX252" s="1"/>
    </row>
    <row r="253" spans="3:128" ht="19.5" customHeight="1">
      <c r="C253" s="112"/>
      <c r="AC253" s="112"/>
      <c r="AD253" s="112"/>
      <c r="AE253" s="112"/>
      <c r="AF253" s="112"/>
      <c r="AG253" s="112"/>
      <c r="AH253" s="112"/>
      <c r="AI253" s="112"/>
      <c r="AJ253" s="112"/>
      <c r="AK253" s="112"/>
      <c r="AU253" s="173"/>
      <c r="AX253" s="542" t="s">
        <v>4029</v>
      </c>
      <c r="AY253" s="114"/>
      <c r="AZ253" s="542" t="s">
        <v>4030</v>
      </c>
      <c r="BA253" s="115"/>
      <c r="BB253" s="115"/>
      <c r="BC253" s="115"/>
      <c r="BD253" s="115"/>
      <c r="BE253" s="115"/>
      <c r="BF253" s="115"/>
      <c r="BG253" s="548" t="s">
        <v>4031</v>
      </c>
      <c r="BH253" s="547" t="s">
        <v>4032</v>
      </c>
      <c r="BI253" s="115"/>
      <c r="BJ253" s="115"/>
      <c r="BK253" s="547" t="s">
        <v>4033</v>
      </c>
      <c r="BL253" s="115"/>
      <c r="BM253" s="115"/>
      <c r="BN253" s="115"/>
      <c r="BO253" s="115"/>
      <c r="BP253" s="115"/>
      <c r="BQ253" s="115"/>
      <c r="BR253" s="115"/>
      <c r="BS253" s="115"/>
      <c r="BT253" s="115"/>
      <c r="BU253" s="115"/>
      <c r="BV253" s="115"/>
      <c r="BW253" s="115"/>
      <c r="BX253" s="115"/>
      <c r="BY253" s="115"/>
      <c r="BZ253" s="658"/>
      <c r="CA253" s="658"/>
      <c r="CB253" s="511"/>
      <c r="CC253" s="115"/>
      <c r="CD253" s="117"/>
      <c r="CE253" s="659"/>
      <c r="CF253" s="117"/>
      <c r="DX253" s="1"/>
    </row>
    <row r="254" spans="3:128" ht="19.5" customHeight="1">
      <c r="C254" s="112"/>
      <c r="AC254" s="112"/>
      <c r="AD254" s="112"/>
      <c r="AE254" s="112"/>
      <c r="AF254" s="112"/>
      <c r="AG254" s="112"/>
      <c r="AH254" s="112"/>
      <c r="AI254" s="112"/>
      <c r="AJ254" s="112"/>
      <c r="AK254" s="112"/>
      <c r="AU254" s="173"/>
      <c r="AX254" s="542" t="s">
        <v>4034</v>
      </c>
      <c r="AY254" s="114"/>
      <c r="AZ254" s="542" t="s">
        <v>4035</v>
      </c>
      <c r="BA254" s="115"/>
      <c r="BB254" s="115"/>
      <c r="BC254" s="115"/>
      <c r="BD254" s="115"/>
      <c r="BE254" s="115"/>
      <c r="BF254" s="115"/>
      <c r="BG254" s="115"/>
      <c r="BH254" s="549" t="s">
        <v>4036</v>
      </c>
      <c r="BI254" s="115"/>
      <c r="BJ254" s="115"/>
      <c r="BK254" s="547" t="s">
        <v>4037</v>
      </c>
      <c r="BL254" s="115"/>
      <c r="BM254" s="115"/>
      <c r="BN254" s="115"/>
      <c r="BO254" s="115"/>
      <c r="BP254" s="115"/>
      <c r="BQ254" s="115"/>
      <c r="BR254" s="115"/>
      <c r="BS254" s="115"/>
      <c r="BT254" s="115"/>
      <c r="BU254" s="115"/>
      <c r="BV254" s="115"/>
      <c r="BW254" s="115"/>
      <c r="BX254" s="115"/>
      <c r="BY254" s="115"/>
      <c r="BZ254" s="658"/>
      <c r="CA254" s="658"/>
      <c r="CB254" s="511"/>
      <c r="CC254" s="115"/>
      <c r="CD254" s="117"/>
      <c r="CE254" s="659"/>
      <c r="CF254" s="117"/>
      <c r="DX254" s="1"/>
    </row>
    <row r="255" spans="3:128" ht="19.5" customHeight="1">
      <c r="C255" s="112"/>
      <c r="AC255" s="112"/>
      <c r="AD255" s="112"/>
      <c r="AE255" s="112"/>
      <c r="AF255" s="112"/>
      <c r="AG255" s="112"/>
      <c r="AH255" s="112"/>
      <c r="AI255" s="112"/>
      <c r="AJ255" s="112"/>
      <c r="AK255" s="112"/>
      <c r="AU255" s="173"/>
      <c r="AX255" s="542" t="s">
        <v>4038</v>
      </c>
      <c r="AY255" s="114"/>
      <c r="AZ255" s="542" t="s">
        <v>4039</v>
      </c>
      <c r="BA255" s="115"/>
      <c r="BB255" s="115"/>
      <c r="BC255" s="115"/>
      <c r="BD255" s="115"/>
      <c r="BE255" s="115"/>
      <c r="BF255" s="115"/>
      <c r="BG255" s="115"/>
      <c r="BH255" s="115"/>
      <c r="BI255" s="115"/>
      <c r="BJ255" s="115"/>
      <c r="BK255" s="547" t="s">
        <v>4040</v>
      </c>
      <c r="BL255" s="115"/>
      <c r="BM255" s="115"/>
      <c r="BN255" s="115"/>
      <c r="BO255" s="115"/>
      <c r="BP255" s="115"/>
      <c r="BQ255" s="115"/>
      <c r="BR255" s="115"/>
      <c r="BS255" s="115"/>
      <c r="BT255" s="115"/>
      <c r="BU255" s="115"/>
      <c r="BV255" s="115"/>
      <c r="BW255" s="115"/>
      <c r="BX255" s="115"/>
      <c r="BY255" s="115"/>
      <c r="BZ255" s="658"/>
      <c r="CA255" s="658"/>
      <c r="CB255" s="511"/>
      <c r="CC255" s="115"/>
      <c r="CD255" s="117"/>
      <c r="CE255" s="659"/>
      <c r="CF255" s="117"/>
      <c r="DX255" s="1"/>
    </row>
    <row r="256" spans="3:128" ht="19.5" customHeight="1">
      <c r="AL256" s="143"/>
      <c r="AX256" s="542" t="s">
        <v>4041</v>
      </c>
      <c r="AY256" s="114"/>
      <c r="AZ256" s="542" t="s">
        <v>4042</v>
      </c>
      <c r="BA256" s="115"/>
      <c r="BB256" s="115"/>
      <c r="BC256" s="115"/>
      <c r="BD256" s="115"/>
      <c r="BE256" s="115"/>
      <c r="BF256" s="115"/>
      <c r="BG256" s="115"/>
      <c r="BH256" s="115"/>
      <c r="BI256" s="115"/>
      <c r="BJ256" s="115"/>
      <c r="BK256" s="547" t="s">
        <v>4043</v>
      </c>
      <c r="BL256" s="115"/>
      <c r="BM256" s="115"/>
      <c r="BN256" s="115"/>
      <c r="BO256" s="115"/>
      <c r="BP256" s="115"/>
      <c r="BQ256" s="115"/>
      <c r="BR256" s="115"/>
      <c r="BS256" s="115"/>
      <c r="BT256" s="115"/>
      <c r="BU256" s="115"/>
      <c r="BV256" s="115"/>
      <c r="BW256" s="115"/>
      <c r="BX256" s="115"/>
      <c r="BY256" s="115"/>
      <c r="BZ256" s="658"/>
      <c r="CA256" s="658"/>
      <c r="CB256" s="511"/>
      <c r="CC256" s="115"/>
      <c r="CD256" s="117"/>
      <c r="CE256" s="659"/>
      <c r="CF256" s="117"/>
      <c r="DX256" s="1"/>
    </row>
    <row r="257" spans="38:128" ht="19.5" customHeight="1">
      <c r="AL257" s="143"/>
      <c r="AX257" s="542" t="s">
        <v>4044</v>
      </c>
      <c r="AY257" s="114"/>
      <c r="AZ257" s="542" t="s">
        <v>4045</v>
      </c>
      <c r="BA257" s="115"/>
      <c r="BB257" s="115"/>
      <c r="BC257" s="115"/>
      <c r="BD257" s="115"/>
      <c r="BE257" s="115"/>
      <c r="BF257" s="115"/>
      <c r="BG257" s="115"/>
      <c r="BH257" s="115"/>
      <c r="BI257" s="115"/>
      <c r="BJ257" s="115"/>
      <c r="BK257" s="547" t="s">
        <v>4046</v>
      </c>
      <c r="BL257" s="115"/>
      <c r="BM257" s="115"/>
      <c r="BN257" s="115"/>
      <c r="BO257" s="115"/>
      <c r="BP257" s="115"/>
      <c r="BQ257" s="115"/>
      <c r="BR257" s="115"/>
      <c r="BS257" s="115"/>
      <c r="BT257" s="115"/>
      <c r="BU257" s="115"/>
      <c r="BV257" s="115"/>
      <c r="BW257" s="115"/>
      <c r="BX257" s="115"/>
      <c r="BY257" s="115"/>
      <c r="BZ257" s="658"/>
      <c r="CA257" s="658"/>
      <c r="CB257" s="511"/>
      <c r="CC257" s="115"/>
      <c r="CD257" s="117"/>
      <c r="CE257" s="659"/>
      <c r="CF257" s="117"/>
      <c r="DX257" s="1"/>
    </row>
    <row r="258" spans="38:128" ht="19.5" customHeight="1">
      <c r="AL258" s="143"/>
      <c r="AX258" s="542" t="s">
        <v>4047</v>
      </c>
      <c r="AY258" s="114"/>
      <c r="AZ258" s="542" t="s">
        <v>4048</v>
      </c>
      <c r="BA258" s="115"/>
      <c r="BB258" s="115"/>
      <c r="BC258" s="115"/>
      <c r="BD258" s="115"/>
      <c r="BE258" s="115"/>
      <c r="BF258" s="115"/>
      <c r="BG258" s="115"/>
      <c r="BH258" s="115"/>
      <c r="BI258" s="115"/>
      <c r="BJ258" s="115"/>
      <c r="BK258" s="547" t="s">
        <v>4049</v>
      </c>
      <c r="BL258" s="115"/>
      <c r="BM258" s="115"/>
      <c r="BN258" s="115"/>
      <c r="BO258" s="115"/>
      <c r="BP258" s="115"/>
      <c r="BQ258" s="115"/>
      <c r="BR258" s="115"/>
      <c r="BS258" s="115"/>
      <c r="BT258" s="115"/>
      <c r="BU258" s="115"/>
      <c r="BV258" s="115"/>
      <c r="BW258" s="115"/>
      <c r="BX258" s="115"/>
      <c r="BY258" s="115"/>
      <c r="BZ258" s="658"/>
      <c r="CA258" s="658"/>
      <c r="CB258" s="511"/>
      <c r="CC258" s="115"/>
      <c r="CD258" s="117"/>
      <c r="CE258" s="661"/>
      <c r="CF258" s="117"/>
      <c r="DX258" s="1"/>
    </row>
    <row r="259" spans="38:128" ht="19.5" customHeight="1">
      <c r="AL259" s="143"/>
      <c r="AX259" s="542" t="s">
        <v>4050</v>
      </c>
      <c r="AY259" s="114"/>
      <c r="AZ259" s="542" t="s">
        <v>4051</v>
      </c>
      <c r="BA259" s="115"/>
      <c r="BB259" s="115"/>
      <c r="BC259" s="115"/>
      <c r="BD259" s="115"/>
      <c r="BE259" s="115"/>
      <c r="BF259" s="115"/>
      <c r="BG259" s="115"/>
      <c r="BH259" s="115"/>
      <c r="BI259" s="115"/>
      <c r="BJ259" s="115"/>
      <c r="BK259" s="547" t="s">
        <v>4052</v>
      </c>
      <c r="BL259" s="115"/>
      <c r="BM259" s="115"/>
      <c r="BN259" s="115"/>
      <c r="BO259" s="115"/>
      <c r="BP259" s="115"/>
      <c r="BQ259" s="115"/>
      <c r="BR259" s="115"/>
      <c r="BS259" s="115"/>
      <c r="BT259" s="115"/>
      <c r="BU259" s="115"/>
      <c r="BV259" s="115"/>
      <c r="BW259" s="115"/>
      <c r="BX259" s="115"/>
      <c r="BY259" s="115"/>
      <c r="BZ259" s="658"/>
      <c r="CA259" s="658"/>
      <c r="CB259" s="511"/>
      <c r="CC259" s="115"/>
      <c r="CD259" s="117"/>
      <c r="CE259" s="661"/>
      <c r="CF259" s="117"/>
    </row>
    <row r="260" spans="38:128" ht="19.5" customHeight="1">
      <c r="AL260" s="143"/>
      <c r="AX260" s="542" t="s">
        <v>4053</v>
      </c>
      <c r="AY260" s="114"/>
      <c r="AZ260" s="542" t="s">
        <v>4054</v>
      </c>
      <c r="BA260" s="115"/>
      <c r="BB260" s="115"/>
      <c r="BC260" s="115"/>
      <c r="BD260" s="115"/>
      <c r="BE260" s="115"/>
      <c r="BF260" s="115"/>
      <c r="BG260" s="115"/>
      <c r="BH260" s="115"/>
      <c r="BI260" s="115"/>
      <c r="BJ260" s="115"/>
      <c r="BK260" s="547" t="s">
        <v>4055</v>
      </c>
      <c r="BL260" s="115"/>
      <c r="BM260" s="115"/>
      <c r="BN260" s="115"/>
      <c r="BO260" s="115"/>
      <c r="BP260" s="115"/>
      <c r="BQ260" s="115"/>
      <c r="BR260" s="115"/>
      <c r="BS260" s="115"/>
      <c r="BT260" s="115"/>
      <c r="BU260" s="115"/>
      <c r="BV260" s="115"/>
      <c r="BW260" s="115"/>
      <c r="BX260" s="115"/>
      <c r="BY260" s="115"/>
      <c r="BZ260" s="658"/>
      <c r="CA260" s="658"/>
      <c r="CB260" s="511"/>
      <c r="CC260" s="115"/>
      <c r="CD260" s="117"/>
      <c r="CE260" s="661"/>
      <c r="CF260" s="117"/>
    </row>
    <row r="261" spans="38:128" ht="19.5" customHeight="1">
      <c r="AL261" s="143"/>
      <c r="AX261" s="542" t="s">
        <v>4056</v>
      </c>
      <c r="AY261" s="114"/>
      <c r="AZ261" s="542" t="s">
        <v>4057</v>
      </c>
      <c r="BA261" s="115"/>
      <c r="BB261" s="115"/>
      <c r="BC261" s="115"/>
      <c r="BD261" s="115"/>
      <c r="BE261" s="115"/>
      <c r="BF261" s="115"/>
      <c r="BG261" s="115"/>
      <c r="BH261" s="115"/>
      <c r="BI261" s="115"/>
      <c r="BJ261" s="115"/>
      <c r="BK261" s="547" t="s">
        <v>4058</v>
      </c>
      <c r="BL261" s="115"/>
      <c r="BM261" s="115"/>
      <c r="BN261" s="115"/>
      <c r="BO261" s="115"/>
      <c r="BP261" s="115"/>
      <c r="BQ261" s="115"/>
      <c r="BR261" s="115"/>
      <c r="BS261" s="115"/>
      <c r="BT261" s="115"/>
      <c r="BU261" s="115"/>
      <c r="BV261" s="115"/>
      <c r="BW261" s="115"/>
      <c r="BX261" s="115"/>
      <c r="BY261" s="115"/>
      <c r="BZ261" s="658"/>
      <c r="CA261" s="658"/>
      <c r="CB261" s="511"/>
      <c r="CC261" s="115"/>
      <c r="CD261" s="117"/>
      <c r="CE261" s="661"/>
      <c r="CF261" s="117"/>
    </row>
    <row r="262" spans="38:128" ht="19.5" customHeight="1">
      <c r="AL262" s="143"/>
      <c r="AX262" s="545" t="s">
        <v>4059</v>
      </c>
      <c r="AY262" s="114"/>
      <c r="AZ262" s="542" t="s">
        <v>4060</v>
      </c>
      <c r="BA262" s="115"/>
      <c r="BB262" s="115"/>
      <c r="BC262" s="115"/>
      <c r="BD262" s="115"/>
      <c r="BE262" s="115"/>
      <c r="BF262" s="115"/>
      <c r="BG262" s="115"/>
      <c r="BH262" s="115"/>
      <c r="BI262" s="115"/>
      <c r="BJ262" s="115"/>
      <c r="BK262" s="547" t="s">
        <v>4061</v>
      </c>
      <c r="BL262" s="115"/>
      <c r="BM262" s="115"/>
      <c r="BN262" s="115"/>
      <c r="BO262" s="115"/>
      <c r="BP262" s="115"/>
      <c r="BQ262" s="115"/>
      <c r="BR262" s="115"/>
      <c r="BS262" s="115"/>
      <c r="BT262" s="115"/>
      <c r="BU262" s="115"/>
      <c r="BV262" s="115"/>
      <c r="BW262" s="115"/>
      <c r="BX262" s="115"/>
      <c r="BY262" s="115"/>
      <c r="BZ262" s="658"/>
      <c r="CA262" s="658"/>
      <c r="CB262" s="511"/>
      <c r="CC262" s="115"/>
      <c r="CD262" s="117"/>
      <c r="CE262" s="661"/>
      <c r="CF262" s="117"/>
    </row>
    <row r="263" spans="38:128" ht="19.5" customHeight="1">
      <c r="AL263" s="143"/>
      <c r="AX263" s="114"/>
      <c r="AY263" s="114"/>
      <c r="AZ263" s="542" t="s">
        <v>4062</v>
      </c>
      <c r="BA263" s="115"/>
      <c r="BB263" s="115"/>
      <c r="BC263" s="115"/>
      <c r="BD263" s="115"/>
      <c r="BE263" s="115"/>
      <c r="BF263" s="115"/>
      <c r="BG263" s="115"/>
      <c r="BH263" s="115"/>
      <c r="BI263" s="115"/>
      <c r="BJ263" s="115"/>
      <c r="BK263" s="549" t="s">
        <v>4063</v>
      </c>
      <c r="BL263" s="115"/>
      <c r="BM263" s="115"/>
      <c r="BN263" s="115"/>
      <c r="BO263" s="115"/>
      <c r="BP263" s="115"/>
      <c r="BQ263" s="115"/>
      <c r="BR263" s="115"/>
      <c r="BS263" s="115"/>
      <c r="BT263" s="115"/>
      <c r="BU263" s="115"/>
      <c r="BV263" s="115"/>
      <c r="BW263" s="115"/>
      <c r="BX263" s="115"/>
      <c r="BY263" s="115"/>
      <c r="BZ263" s="658"/>
      <c r="CA263" s="658"/>
      <c r="CB263" s="511"/>
      <c r="CC263" s="115"/>
      <c r="CD263" s="117"/>
      <c r="CE263" s="661"/>
      <c r="CF263" s="117"/>
    </row>
    <row r="264" spans="38:128" ht="19.5" customHeight="1">
      <c r="AL264" s="143"/>
      <c r="AX264" s="114"/>
      <c r="AY264" s="114"/>
      <c r="AZ264" s="542" t="s">
        <v>4064</v>
      </c>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658"/>
      <c r="CA264" s="658"/>
      <c r="CB264" s="511"/>
      <c r="CC264" s="115"/>
      <c r="CD264" s="117"/>
      <c r="CE264" s="661"/>
      <c r="CF264" s="117"/>
    </row>
    <row r="265" spans="38:128" ht="19.5" customHeight="1">
      <c r="AL265" s="143"/>
      <c r="AX265" s="114"/>
      <c r="AY265" s="114"/>
      <c r="AZ265" s="542" t="s">
        <v>4065</v>
      </c>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658"/>
      <c r="CA265" s="658"/>
      <c r="CB265" s="511"/>
      <c r="CC265" s="115"/>
      <c r="CD265" s="117"/>
      <c r="CE265" s="661"/>
      <c r="CF265" s="117"/>
    </row>
    <row r="266" spans="38:128" ht="19.5" customHeight="1">
      <c r="AL266" s="143"/>
      <c r="AX266" s="114"/>
      <c r="AY266" s="114"/>
      <c r="AZ266" s="542" t="s">
        <v>4066</v>
      </c>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658"/>
      <c r="CA266" s="658"/>
      <c r="CB266" s="511"/>
      <c r="CC266" s="115"/>
      <c r="CD266" s="117"/>
      <c r="CE266" s="661"/>
      <c r="CF266" s="117"/>
    </row>
    <row r="267" spans="38:128" ht="19.5" customHeight="1">
      <c r="AL267" s="143"/>
      <c r="AX267" s="114"/>
      <c r="AY267" s="114"/>
      <c r="AZ267" s="542" t="s">
        <v>4067</v>
      </c>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658"/>
      <c r="CA267" s="658"/>
      <c r="CB267" s="511"/>
      <c r="CC267" s="115"/>
      <c r="CD267" s="117"/>
      <c r="CE267" s="661"/>
      <c r="CF267" s="117"/>
    </row>
    <row r="268" spans="38:128" ht="19.5" customHeight="1">
      <c r="AL268" s="143"/>
      <c r="AX268" s="114"/>
      <c r="AY268" s="114"/>
      <c r="AZ268" s="542" t="s">
        <v>4068</v>
      </c>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658"/>
      <c r="CA268" s="658"/>
      <c r="CB268" s="511"/>
      <c r="CC268" s="115"/>
      <c r="CD268" s="117"/>
      <c r="CE268" s="661"/>
      <c r="CF268" s="117"/>
    </row>
    <row r="269" spans="38:128" ht="19.5" customHeight="1">
      <c r="AL269" s="143"/>
      <c r="AX269" s="114"/>
      <c r="AY269" s="114"/>
      <c r="AZ269" s="542" t="s">
        <v>4069</v>
      </c>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658"/>
      <c r="CA269" s="658"/>
      <c r="CB269" s="511"/>
      <c r="CC269" s="115"/>
      <c r="CD269" s="117"/>
      <c r="CE269" s="661"/>
      <c r="CF269" s="117"/>
    </row>
    <row r="270" spans="38:128" ht="19.5" customHeight="1">
      <c r="AL270" s="143"/>
      <c r="AX270" s="114"/>
      <c r="AY270" s="114"/>
      <c r="AZ270" s="545" t="s">
        <v>4070</v>
      </c>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658"/>
      <c r="CA270" s="658"/>
      <c r="CB270" s="511"/>
      <c r="CC270" s="115"/>
      <c r="CD270" s="117"/>
      <c r="CE270" s="661"/>
      <c r="CF270" s="117"/>
    </row>
    <row r="271" spans="38:128" ht="19.5" customHeight="1">
      <c r="AL271" s="143"/>
      <c r="AX271" s="114"/>
      <c r="AY271" s="114"/>
      <c r="AZ271" s="114"/>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658"/>
      <c r="CA271" s="658"/>
      <c r="CB271" s="511"/>
      <c r="CC271" s="115"/>
      <c r="CD271" s="117"/>
      <c r="CE271" s="661"/>
      <c r="CF271" s="117"/>
    </row>
    <row r="272" spans="38:128" ht="19.5" customHeight="1">
      <c r="AL272" s="143"/>
      <c r="AX272" s="114"/>
      <c r="AY272" s="114"/>
      <c r="AZ272" s="114"/>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658"/>
      <c r="CA272" s="658"/>
      <c r="CB272" s="511"/>
      <c r="CC272" s="115"/>
      <c r="CD272" s="117"/>
      <c r="CE272" s="661"/>
      <c r="CF272" s="117"/>
    </row>
    <row r="273" spans="38:84" ht="19.5" customHeight="1">
      <c r="AL273" s="143"/>
      <c r="AX273" s="114"/>
      <c r="AY273" s="114"/>
      <c r="AZ273" s="114"/>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658"/>
      <c r="CA273" s="658"/>
      <c r="CB273" s="511"/>
      <c r="CC273" s="115"/>
      <c r="CD273" s="117"/>
      <c r="CE273" s="661"/>
      <c r="CF273" s="117"/>
    </row>
    <row r="274" spans="38:84" ht="19.5" customHeight="1">
      <c r="AL274" s="143"/>
      <c r="AX274" s="114"/>
      <c r="AY274" s="114"/>
      <c r="AZ274" s="114"/>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658"/>
      <c r="CA274" s="658"/>
      <c r="CB274" s="511"/>
      <c r="CC274" s="115"/>
      <c r="CD274" s="117"/>
      <c r="CE274" s="661"/>
      <c r="CF274" s="117"/>
    </row>
    <row r="275" spans="38:84" ht="19.5" customHeight="1">
      <c r="AL275" s="143"/>
      <c r="AX275" s="114"/>
      <c r="AY275" s="114"/>
      <c r="AZ275" s="114"/>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658"/>
      <c r="CA275" s="658"/>
      <c r="CB275" s="511"/>
      <c r="CC275" s="115"/>
      <c r="CD275" s="117"/>
      <c r="CE275" s="661"/>
      <c r="CF275" s="117"/>
    </row>
    <row r="276" spans="38:84" ht="19.5" customHeight="1">
      <c r="AL276" s="143"/>
      <c r="AX276" s="114"/>
      <c r="AY276" s="114"/>
      <c r="AZ276" s="114"/>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658"/>
      <c r="CA276" s="658"/>
      <c r="CB276" s="511"/>
      <c r="CC276" s="115"/>
      <c r="CD276" s="117"/>
      <c r="CE276" s="661"/>
      <c r="CF276" s="117"/>
    </row>
    <row r="277" spans="38:84" ht="19.5" customHeight="1">
      <c r="AL277" s="143"/>
      <c r="AX277" s="114"/>
      <c r="AY277" s="114"/>
      <c r="AZ277" s="114"/>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658"/>
      <c r="CA277" s="658"/>
      <c r="CB277" s="511"/>
      <c r="CC277" s="115"/>
      <c r="CD277" s="117"/>
      <c r="CE277" s="661"/>
      <c r="CF277" s="117"/>
    </row>
    <row r="278" spans="38:84" ht="19.5" customHeight="1">
      <c r="AL278" s="143"/>
      <c r="AX278" s="114" t="s">
        <v>2998</v>
      </c>
      <c r="AY278" s="114"/>
      <c r="AZ278" s="114"/>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658"/>
      <c r="CA278" s="658"/>
      <c r="CB278" s="511"/>
      <c r="CC278" s="115"/>
      <c r="CD278" s="117"/>
      <c r="CE278" s="661"/>
      <c r="CF278" s="117"/>
    </row>
    <row r="279" spans="38:84" ht="19.5" customHeight="1">
      <c r="AL279" s="143"/>
      <c r="AX279" s="539" t="s">
        <v>2999</v>
      </c>
      <c r="AY279" s="539" t="s">
        <v>2441</v>
      </c>
      <c r="AZ279" s="539" t="s">
        <v>2283</v>
      </c>
      <c r="BA279" s="541" t="s">
        <v>3000</v>
      </c>
      <c r="BB279" s="541" t="s">
        <v>3001</v>
      </c>
      <c r="BC279" s="541" t="s">
        <v>3002</v>
      </c>
      <c r="BD279" s="541" t="s">
        <v>3003</v>
      </c>
      <c r="BE279" s="541" t="s">
        <v>3004</v>
      </c>
      <c r="BF279" s="541" t="s">
        <v>3005</v>
      </c>
      <c r="BG279" s="541" t="s">
        <v>2284</v>
      </c>
      <c r="BH279" s="541" t="s">
        <v>2448</v>
      </c>
      <c r="BI279" s="541" t="s">
        <v>3006</v>
      </c>
      <c r="BJ279" s="541" t="s">
        <v>3007</v>
      </c>
      <c r="BK279" s="541" t="s">
        <v>3008</v>
      </c>
      <c r="BL279" s="541" t="s">
        <v>2291</v>
      </c>
      <c r="BM279" s="115"/>
      <c r="BN279" s="115"/>
      <c r="BO279" s="115"/>
      <c r="BP279" s="115"/>
      <c r="BQ279" s="115"/>
      <c r="BR279" s="115"/>
      <c r="BS279" s="115"/>
      <c r="BT279" s="115"/>
      <c r="BU279" s="115"/>
      <c r="BV279" s="115"/>
      <c r="BW279" s="115"/>
      <c r="BX279" s="115"/>
      <c r="BY279" s="115"/>
      <c r="BZ279" s="658"/>
      <c r="CA279" s="658"/>
      <c r="CB279" s="511"/>
      <c r="CC279" s="115"/>
      <c r="CD279" s="117"/>
      <c r="CE279" s="661"/>
      <c r="CF279" s="117"/>
    </row>
    <row r="280" spans="38:84" ht="19.5" customHeight="1">
      <c r="AL280" s="143"/>
      <c r="AX280" s="542" t="s">
        <v>3009</v>
      </c>
      <c r="AY280" s="636" t="s">
        <v>3009</v>
      </c>
      <c r="AZ280" s="543" t="s">
        <v>3009</v>
      </c>
      <c r="BA280" s="646" t="s">
        <v>3009</v>
      </c>
      <c r="BB280" s="647" t="s">
        <v>3009</v>
      </c>
      <c r="BC280" s="647" t="s">
        <v>3009</v>
      </c>
      <c r="BD280" s="647" t="s">
        <v>3009</v>
      </c>
      <c r="BE280" s="646" t="s">
        <v>3009</v>
      </c>
      <c r="BF280" s="647" t="s">
        <v>3009</v>
      </c>
      <c r="BG280" s="647" t="s">
        <v>3009</v>
      </c>
      <c r="BH280" s="646" t="s">
        <v>3009</v>
      </c>
      <c r="BI280" s="647" t="s">
        <v>3009</v>
      </c>
      <c r="BJ280" s="646" t="s">
        <v>3009</v>
      </c>
      <c r="BK280" s="115" t="s">
        <v>3009</v>
      </c>
      <c r="BL280" s="640" t="s">
        <v>3009</v>
      </c>
      <c r="BM280" s="115"/>
      <c r="BN280" s="115"/>
      <c r="BO280" s="115"/>
      <c r="BP280" s="115"/>
      <c r="BQ280" s="115"/>
      <c r="BR280" s="115"/>
      <c r="BS280" s="115"/>
      <c r="BT280" s="115"/>
      <c r="BU280" s="115"/>
      <c r="BV280" s="115"/>
      <c r="BW280" s="115"/>
      <c r="BX280" s="115"/>
      <c r="BY280" s="115"/>
      <c r="BZ280" s="658"/>
      <c r="CA280" s="658"/>
      <c r="CB280" s="511"/>
      <c r="CC280" s="115"/>
      <c r="CD280" s="117"/>
      <c r="CE280" s="661"/>
      <c r="CF280" s="117"/>
    </row>
    <row r="281" spans="38:84" ht="19.5" customHeight="1">
      <c r="AL281" s="143"/>
      <c r="AX281" s="542" t="s">
        <v>3010</v>
      </c>
      <c r="AY281" s="544" t="s">
        <v>3011</v>
      </c>
      <c r="AZ281" s="542" t="s">
        <v>3012</v>
      </c>
      <c r="BA281" s="547" t="s">
        <v>3013</v>
      </c>
      <c r="BB281" s="546" t="s">
        <v>3014</v>
      </c>
      <c r="BC281" s="546" t="s">
        <v>3015</v>
      </c>
      <c r="BD281" s="546" t="s">
        <v>3016</v>
      </c>
      <c r="BE281" s="547" t="s">
        <v>3017</v>
      </c>
      <c r="BF281" s="546" t="s">
        <v>3018</v>
      </c>
      <c r="BG281" s="546" t="s">
        <v>3019</v>
      </c>
      <c r="BH281" s="547" t="s">
        <v>3020</v>
      </c>
      <c r="BI281" s="546" t="s">
        <v>3021</v>
      </c>
      <c r="BJ281" s="547" t="s">
        <v>3022</v>
      </c>
      <c r="BK281" s="115" t="s">
        <v>3023</v>
      </c>
      <c r="BL281" s="115"/>
      <c r="BM281" s="115"/>
      <c r="BN281" s="115"/>
      <c r="BO281" s="115"/>
      <c r="BP281" s="115"/>
      <c r="BQ281" s="115"/>
      <c r="BR281" s="115"/>
      <c r="BS281" s="115"/>
      <c r="BT281" s="115"/>
      <c r="BU281" s="115"/>
      <c r="BV281" s="115"/>
      <c r="BW281" s="115"/>
      <c r="BX281" s="115"/>
      <c r="BY281" s="115"/>
      <c r="BZ281" s="658"/>
      <c r="CA281" s="658"/>
      <c r="CB281" s="511"/>
      <c r="CC281" s="115"/>
      <c r="CD281" s="117"/>
      <c r="CE281" s="661"/>
      <c r="CF281" s="117"/>
    </row>
    <row r="282" spans="38:84" ht="19.5" customHeight="1">
      <c r="AL282" s="143"/>
      <c r="AX282" s="542" t="s">
        <v>3024</v>
      </c>
      <c r="AY282" s="544" t="s">
        <v>3025</v>
      </c>
      <c r="AZ282" s="542" t="s">
        <v>3026</v>
      </c>
      <c r="BA282" s="547" t="s">
        <v>3027</v>
      </c>
      <c r="BB282" s="546" t="s">
        <v>3028</v>
      </c>
      <c r="BC282" s="546" t="s">
        <v>3029</v>
      </c>
      <c r="BD282" s="546" t="s">
        <v>3030</v>
      </c>
      <c r="BE282" s="547" t="s">
        <v>3031</v>
      </c>
      <c r="BF282" s="546" t="s">
        <v>3032</v>
      </c>
      <c r="BG282" s="546" t="s">
        <v>3033</v>
      </c>
      <c r="BH282" s="547" t="s">
        <v>3034</v>
      </c>
      <c r="BI282" s="546" t="s">
        <v>3035</v>
      </c>
      <c r="BJ282" s="547" t="s">
        <v>3036</v>
      </c>
      <c r="BK282" s="115" t="s">
        <v>3037</v>
      </c>
      <c r="BL282" s="115"/>
      <c r="BM282" s="115"/>
      <c r="BN282" s="115"/>
      <c r="BO282" s="115"/>
      <c r="BP282" s="115"/>
      <c r="BQ282" s="115"/>
      <c r="BR282" s="115"/>
      <c r="BS282" s="115"/>
      <c r="BT282" s="115"/>
      <c r="BU282" s="115"/>
      <c r="BV282" s="115"/>
      <c r="BW282" s="115"/>
      <c r="BX282" s="115"/>
      <c r="BY282" s="115"/>
      <c r="BZ282" s="658"/>
      <c r="CA282" s="658"/>
      <c r="CB282" s="511"/>
      <c r="CC282" s="115"/>
      <c r="CD282" s="117"/>
      <c r="CE282" s="661"/>
      <c r="CF282" s="117"/>
    </row>
    <row r="283" spans="38:84" ht="19.5" customHeight="1">
      <c r="AL283" s="143"/>
      <c r="AX283" s="542" t="s">
        <v>3038</v>
      </c>
      <c r="AY283" s="544" t="s">
        <v>3039</v>
      </c>
      <c r="AZ283" s="542" t="s">
        <v>3040</v>
      </c>
      <c r="BA283" s="547" t="s">
        <v>3041</v>
      </c>
      <c r="BB283" s="546" t="s">
        <v>3042</v>
      </c>
      <c r="BC283" s="546" t="s">
        <v>3043</v>
      </c>
      <c r="BD283" s="546" t="s">
        <v>3044</v>
      </c>
      <c r="BE283" s="547" t="s">
        <v>3045</v>
      </c>
      <c r="BF283" s="546" t="s">
        <v>3046</v>
      </c>
      <c r="BG283" s="546" t="s">
        <v>3047</v>
      </c>
      <c r="BH283" s="547" t="s">
        <v>3048</v>
      </c>
      <c r="BI283" s="546" t="s">
        <v>3049</v>
      </c>
      <c r="BJ283" s="547" t="s">
        <v>3050</v>
      </c>
      <c r="BK283" s="115" t="s">
        <v>3051</v>
      </c>
      <c r="BL283" s="115"/>
      <c r="BM283" s="115"/>
      <c r="BN283" s="115"/>
      <c r="BO283" s="115"/>
      <c r="BP283" s="115"/>
      <c r="BQ283" s="115"/>
      <c r="BR283" s="115"/>
      <c r="BS283" s="115"/>
      <c r="BT283" s="115"/>
      <c r="BU283" s="115"/>
      <c r="BV283" s="115"/>
      <c r="BW283" s="115"/>
      <c r="BX283" s="115"/>
      <c r="BY283" s="115"/>
      <c r="BZ283" s="658"/>
      <c r="CA283" s="658"/>
      <c r="CB283" s="511"/>
      <c r="CC283" s="115"/>
      <c r="CD283" s="117"/>
      <c r="CE283" s="661"/>
      <c r="CF283" s="117"/>
    </row>
    <row r="284" spans="38:84" ht="19.5" customHeight="1">
      <c r="AL284" s="143"/>
      <c r="AX284" s="542" t="s">
        <v>3052</v>
      </c>
      <c r="AY284" s="544" t="s">
        <v>3053</v>
      </c>
      <c r="AZ284" s="542" t="s">
        <v>3054</v>
      </c>
      <c r="BA284" s="547" t="s">
        <v>3055</v>
      </c>
      <c r="BB284" s="546" t="s">
        <v>3056</v>
      </c>
      <c r="BC284" s="546" t="s">
        <v>3057</v>
      </c>
      <c r="BD284" s="546" t="s">
        <v>3058</v>
      </c>
      <c r="BE284" s="547" t="s">
        <v>3059</v>
      </c>
      <c r="BF284" s="546" t="s">
        <v>3060</v>
      </c>
      <c r="BG284" s="546" t="s">
        <v>3061</v>
      </c>
      <c r="BH284" s="547" t="s">
        <v>3062</v>
      </c>
      <c r="BI284" s="546" t="s">
        <v>3063</v>
      </c>
      <c r="BJ284" s="547" t="s">
        <v>3064</v>
      </c>
      <c r="BK284" s="115" t="s">
        <v>3065</v>
      </c>
      <c r="BL284" s="115"/>
      <c r="BM284" s="115"/>
      <c r="BN284" s="115"/>
      <c r="BO284" s="115"/>
      <c r="BP284" s="115"/>
      <c r="BQ284" s="115"/>
      <c r="BR284" s="115"/>
      <c r="BS284" s="115"/>
      <c r="BT284" s="115"/>
      <c r="BU284" s="115"/>
      <c r="BV284" s="115"/>
      <c r="BW284" s="115"/>
      <c r="BX284" s="115"/>
      <c r="BY284" s="115"/>
      <c r="BZ284" s="658"/>
      <c r="CA284" s="658"/>
      <c r="CB284" s="511"/>
      <c r="CC284" s="115"/>
      <c r="CD284" s="117"/>
      <c r="CE284" s="117"/>
      <c r="CF284" s="117"/>
    </row>
    <row r="285" spans="38:84" ht="19.5" customHeight="1">
      <c r="AL285" s="143"/>
      <c r="AX285" s="542" t="s">
        <v>3066</v>
      </c>
      <c r="AY285" s="544" t="s">
        <v>3067</v>
      </c>
      <c r="AZ285" s="542" t="s">
        <v>3068</v>
      </c>
      <c r="BA285" s="547" t="s">
        <v>3069</v>
      </c>
      <c r="BB285" s="548" t="s">
        <v>3070</v>
      </c>
      <c r="BC285" s="546" t="s">
        <v>3071</v>
      </c>
      <c r="BD285" s="546" t="s">
        <v>3072</v>
      </c>
      <c r="BE285" s="547" t="s">
        <v>3073</v>
      </c>
      <c r="BF285" s="546" t="s">
        <v>3074</v>
      </c>
      <c r="BG285" s="546" t="s">
        <v>3075</v>
      </c>
      <c r="BH285" s="547" t="s">
        <v>3076</v>
      </c>
      <c r="BI285" s="546" t="s">
        <v>3077</v>
      </c>
      <c r="BJ285" s="547" t="s">
        <v>3078</v>
      </c>
      <c r="BK285" s="115" t="s">
        <v>3079</v>
      </c>
      <c r="BL285" s="115"/>
      <c r="BM285" s="115"/>
      <c r="BN285" s="115"/>
      <c r="BO285" s="115"/>
      <c r="BP285" s="115"/>
      <c r="BQ285" s="115"/>
      <c r="BR285" s="115"/>
      <c r="BS285" s="115"/>
      <c r="BT285" s="115"/>
      <c r="BU285" s="115"/>
      <c r="BV285" s="115"/>
      <c r="BW285" s="115"/>
      <c r="BX285" s="115"/>
      <c r="BY285" s="115"/>
      <c r="BZ285" s="658"/>
      <c r="CA285" s="658"/>
      <c r="CB285" s="511"/>
      <c r="CC285" s="115"/>
      <c r="CD285" s="117"/>
      <c r="CE285" s="117"/>
      <c r="CF285" s="117"/>
    </row>
    <row r="286" spans="38:84" ht="19.5" customHeight="1">
      <c r="AL286" s="143"/>
      <c r="AX286" s="542" t="s">
        <v>3080</v>
      </c>
      <c r="AY286" s="544" t="s">
        <v>3081</v>
      </c>
      <c r="AZ286" s="542" t="s">
        <v>3082</v>
      </c>
      <c r="BA286" s="547" t="s">
        <v>3083</v>
      </c>
      <c r="BB286" s="115"/>
      <c r="BC286" s="546" t="s">
        <v>3084</v>
      </c>
      <c r="BD286" s="546" t="s">
        <v>3085</v>
      </c>
      <c r="BE286" s="547" t="s">
        <v>3086</v>
      </c>
      <c r="BF286" s="546" t="s">
        <v>3087</v>
      </c>
      <c r="BG286" s="546" t="s">
        <v>3088</v>
      </c>
      <c r="BH286" s="547" t="s">
        <v>3089</v>
      </c>
      <c r="BI286" s="546" t="s">
        <v>3090</v>
      </c>
      <c r="BJ286" s="547" t="s">
        <v>3091</v>
      </c>
      <c r="BK286" s="115"/>
      <c r="BL286" s="115"/>
      <c r="BM286" s="115"/>
      <c r="BN286" s="115"/>
      <c r="BO286" s="115"/>
      <c r="BP286" s="115"/>
      <c r="BQ286" s="115"/>
      <c r="BR286" s="115"/>
      <c r="BS286" s="115"/>
      <c r="BT286" s="115"/>
      <c r="BU286" s="115"/>
      <c r="BV286" s="115"/>
      <c r="BW286" s="115"/>
      <c r="BX286" s="115"/>
      <c r="BY286" s="115"/>
      <c r="BZ286" s="658"/>
      <c r="CA286" s="658"/>
      <c r="CB286" s="511"/>
      <c r="CC286" s="115"/>
      <c r="CD286" s="117"/>
      <c r="CE286" s="117"/>
      <c r="CF286" s="117"/>
    </row>
    <row r="287" spans="38:84" ht="19.5" customHeight="1">
      <c r="AL287" s="143"/>
      <c r="AX287" s="542" t="s">
        <v>3092</v>
      </c>
      <c r="AY287" s="544" t="s">
        <v>3093</v>
      </c>
      <c r="AZ287" s="542" t="s">
        <v>3094</v>
      </c>
      <c r="BA287" s="547" t="s">
        <v>3095</v>
      </c>
      <c r="BB287" s="115"/>
      <c r="BC287" s="546" t="s">
        <v>3096</v>
      </c>
      <c r="BD287" s="546" t="s">
        <v>3097</v>
      </c>
      <c r="BE287" s="547" t="s">
        <v>3098</v>
      </c>
      <c r="BF287" s="546" t="s">
        <v>3099</v>
      </c>
      <c r="BG287" s="546" t="s">
        <v>3100</v>
      </c>
      <c r="BH287" s="547" t="s">
        <v>3101</v>
      </c>
      <c r="BI287" s="546" t="s">
        <v>3102</v>
      </c>
      <c r="BJ287" s="547" t="s">
        <v>3103</v>
      </c>
      <c r="BK287" s="115"/>
      <c r="BL287" s="115"/>
      <c r="BM287" s="115"/>
      <c r="BN287" s="115"/>
      <c r="BO287" s="115"/>
      <c r="BP287" s="115"/>
      <c r="BQ287" s="115"/>
      <c r="BR287" s="115"/>
      <c r="BS287" s="115"/>
      <c r="BT287" s="115"/>
      <c r="BU287" s="115"/>
      <c r="BV287" s="115"/>
      <c r="BW287" s="115"/>
      <c r="BX287" s="115"/>
      <c r="BY287" s="115"/>
      <c r="BZ287" s="658"/>
      <c r="CA287" s="658"/>
      <c r="CB287" s="511"/>
      <c r="CC287" s="115"/>
      <c r="CD287" s="117"/>
      <c r="CE287" s="117"/>
      <c r="CF287" s="117"/>
    </row>
    <row r="288" spans="38:84" ht="19.5" customHeight="1">
      <c r="AL288" s="143"/>
      <c r="AX288" s="542" t="s">
        <v>3104</v>
      </c>
      <c r="AY288" s="544" t="s">
        <v>3105</v>
      </c>
      <c r="AZ288" s="542" t="s">
        <v>3106</v>
      </c>
      <c r="BA288" s="547" t="s">
        <v>3107</v>
      </c>
      <c r="BB288" s="115"/>
      <c r="BC288" s="546" t="s">
        <v>3108</v>
      </c>
      <c r="BD288" s="546" t="s">
        <v>3109</v>
      </c>
      <c r="BE288" s="547" t="s">
        <v>3110</v>
      </c>
      <c r="BF288" s="548" t="s">
        <v>3111</v>
      </c>
      <c r="BG288" s="546" t="s">
        <v>3112</v>
      </c>
      <c r="BH288" s="547" t="s">
        <v>3113</v>
      </c>
      <c r="BI288" s="546" t="s">
        <v>3114</v>
      </c>
      <c r="BJ288" s="547" t="s">
        <v>3115</v>
      </c>
      <c r="BK288" s="115"/>
      <c r="BL288" s="115"/>
      <c r="BM288" s="115"/>
      <c r="BN288" s="115"/>
      <c r="BO288" s="115"/>
      <c r="BP288" s="115"/>
      <c r="BQ288" s="115"/>
      <c r="BR288" s="115"/>
      <c r="BS288" s="115"/>
      <c r="BT288" s="115"/>
      <c r="BU288" s="115"/>
      <c r="BV288" s="115"/>
      <c r="BW288" s="115"/>
      <c r="BX288" s="115"/>
      <c r="BY288" s="115"/>
      <c r="BZ288" s="658"/>
      <c r="CA288" s="658"/>
      <c r="CB288" s="511"/>
      <c r="CC288" s="115"/>
      <c r="CD288" s="117"/>
      <c r="CE288" s="117"/>
      <c r="CF288" s="117"/>
    </row>
    <row r="289" spans="38:84" ht="19.5" customHeight="1">
      <c r="AL289" s="143"/>
      <c r="AX289" s="542" t="s">
        <v>3116</v>
      </c>
      <c r="AY289" s="637" t="s">
        <v>3117</v>
      </c>
      <c r="AZ289" s="542" t="s">
        <v>3118</v>
      </c>
      <c r="BA289" s="547" t="s">
        <v>3119</v>
      </c>
      <c r="BB289" s="115"/>
      <c r="BC289" s="548" t="s">
        <v>3120</v>
      </c>
      <c r="BD289" s="546" t="s">
        <v>3121</v>
      </c>
      <c r="BE289" s="547" t="s">
        <v>3122</v>
      </c>
      <c r="BF289" s="115"/>
      <c r="BG289" s="546" t="s">
        <v>3123</v>
      </c>
      <c r="BH289" s="547" t="s">
        <v>3124</v>
      </c>
      <c r="BI289" s="546" t="s">
        <v>3125</v>
      </c>
      <c r="BJ289" s="547" t="s">
        <v>3126</v>
      </c>
      <c r="BK289" s="115"/>
      <c r="BL289" s="115"/>
      <c r="BM289" s="115"/>
      <c r="BN289" s="115"/>
      <c r="BO289" s="115"/>
      <c r="BP289" s="115"/>
      <c r="BQ289" s="115"/>
      <c r="BR289" s="115"/>
      <c r="BS289" s="115"/>
      <c r="BT289" s="115"/>
      <c r="BU289" s="115"/>
      <c r="BV289" s="115"/>
      <c r="BW289" s="115"/>
      <c r="BX289" s="115"/>
      <c r="BY289" s="115"/>
      <c r="BZ289" s="658"/>
      <c r="CA289" s="658"/>
      <c r="CB289" s="511"/>
      <c r="CC289" s="115"/>
      <c r="CD289" s="117"/>
      <c r="CE289" s="117"/>
      <c r="CF289" s="117"/>
    </row>
    <row r="290" spans="38:84" ht="19.5" customHeight="1">
      <c r="AL290" s="143"/>
      <c r="AX290" s="542" t="s">
        <v>3127</v>
      </c>
      <c r="AY290" s="114"/>
      <c r="AZ290" s="542" t="s">
        <v>3128</v>
      </c>
      <c r="BA290" s="549" t="s">
        <v>3129</v>
      </c>
      <c r="BB290" s="115"/>
      <c r="BC290" s="115"/>
      <c r="BD290" s="546" t="s">
        <v>3130</v>
      </c>
      <c r="BE290" s="547" t="s">
        <v>3131</v>
      </c>
      <c r="BF290" s="115"/>
      <c r="BG290" s="546" t="s">
        <v>3132</v>
      </c>
      <c r="BH290" s="547" t="s">
        <v>3133</v>
      </c>
      <c r="BI290" s="548" t="s">
        <v>3134</v>
      </c>
      <c r="BJ290" s="547" t="s">
        <v>3135</v>
      </c>
      <c r="BK290" s="115"/>
      <c r="BL290" s="115"/>
      <c r="BM290" s="115"/>
      <c r="BN290" s="115"/>
      <c r="BO290" s="115"/>
      <c r="BP290" s="115"/>
      <c r="BQ290" s="115"/>
      <c r="BR290" s="115"/>
      <c r="BS290" s="115"/>
      <c r="BT290" s="115"/>
      <c r="BU290" s="115"/>
      <c r="BV290" s="115"/>
      <c r="BW290" s="115"/>
      <c r="BX290" s="115"/>
      <c r="BY290" s="115"/>
      <c r="BZ290" s="658"/>
      <c r="CA290" s="658"/>
      <c r="CB290" s="511"/>
      <c r="CC290" s="115"/>
      <c r="CD290" s="117"/>
      <c r="CE290" s="117"/>
      <c r="CF290" s="117"/>
    </row>
    <row r="291" spans="38:84" ht="19.5" customHeight="1">
      <c r="AL291" s="143"/>
      <c r="AX291" s="542" t="s">
        <v>3136</v>
      </c>
      <c r="AY291" s="114"/>
      <c r="AZ291" s="542" t="s">
        <v>3137</v>
      </c>
      <c r="BA291" s="115"/>
      <c r="BB291" s="115"/>
      <c r="BC291" s="115"/>
      <c r="BD291" s="548" t="s">
        <v>3138</v>
      </c>
      <c r="BE291" s="547" t="s">
        <v>3139</v>
      </c>
      <c r="BF291" s="115"/>
      <c r="BG291" s="546" t="s">
        <v>3140</v>
      </c>
      <c r="BH291" s="547" t="s">
        <v>3141</v>
      </c>
      <c r="BI291" s="115"/>
      <c r="BJ291" s="547" t="s">
        <v>3142</v>
      </c>
      <c r="BK291" s="115"/>
      <c r="BL291" s="115"/>
      <c r="BM291" s="115"/>
      <c r="BN291" s="115"/>
      <c r="BO291" s="115"/>
      <c r="BP291" s="115"/>
      <c r="BQ291" s="115"/>
      <c r="BR291" s="115"/>
      <c r="BS291" s="115"/>
      <c r="BT291" s="115"/>
      <c r="BU291" s="115"/>
      <c r="BV291" s="115"/>
      <c r="BW291" s="115"/>
      <c r="BX291" s="115"/>
      <c r="BY291" s="115"/>
      <c r="BZ291" s="658"/>
      <c r="CA291" s="658"/>
      <c r="CB291" s="511"/>
      <c r="CC291" s="115"/>
      <c r="CD291" s="117"/>
      <c r="CE291" s="117"/>
      <c r="CF291" s="117"/>
    </row>
    <row r="292" spans="38:84" ht="19.5" customHeight="1">
      <c r="AL292" s="143"/>
      <c r="AX292" s="542" t="s">
        <v>3143</v>
      </c>
      <c r="AY292" s="114"/>
      <c r="AZ292" s="542" t="s">
        <v>3144</v>
      </c>
      <c r="BA292" s="115"/>
      <c r="BB292" s="115"/>
      <c r="BC292" s="115"/>
      <c r="BD292" s="115"/>
      <c r="BE292" s="547" t="s">
        <v>3145</v>
      </c>
      <c r="BF292" s="115"/>
      <c r="BG292" s="546" t="s">
        <v>3146</v>
      </c>
      <c r="BH292" s="547" t="s">
        <v>3147</v>
      </c>
      <c r="BI292" s="115"/>
      <c r="BJ292" s="547" t="s">
        <v>3148</v>
      </c>
      <c r="BK292" s="115"/>
      <c r="BL292" s="115"/>
      <c r="BM292" s="115"/>
      <c r="BN292" s="115"/>
      <c r="BO292" s="115"/>
      <c r="BP292" s="115"/>
      <c r="BQ292" s="115"/>
      <c r="BR292" s="115"/>
      <c r="BS292" s="115"/>
      <c r="BT292" s="115"/>
      <c r="BU292" s="115"/>
      <c r="BV292" s="115"/>
      <c r="BW292" s="115"/>
      <c r="BX292" s="115"/>
      <c r="BY292" s="115"/>
      <c r="BZ292" s="658"/>
      <c r="CA292" s="658"/>
      <c r="CB292" s="511"/>
      <c r="CC292" s="115"/>
      <c r="CD292" s="117"/>
      <c r="CE292" s="117"/>
      <c r="CF292" s="117"/>
    </row>
    <row r="293" spans="38:84" ht="19.5" customHeight="1">
      <c r="AL293" s="143"/>
      <c r="AX293" s="545" t="s">
        <v>3149</v>
      </c>
      <c r="AY293" s="114"/>
      <c r="AZ293" s="542" t="s">
        <v>3150</v>
      </c>
      <c r="BA293" s="115"/>
      <c r="BB293" s="115"/>
      <c r="BC293" s="115"/>
      <c r="BD293" s="115"/>
      <c r="BE293" s="547" t="s">
        <v>3151</v>
      </c>
      <c r="BF293" s="115"/>
      <c r="BG293" s="546" t="s">
        <v>3152</v>
      </c>
      <c r="BH293" s="547" t="s">
        <v>3153</v>
      </c>
      <c r="BI293" s="115"/>
      <c r="BJ293" s="549" t="s">
        <v>3154</v>
      </c>
      <c r="BK293" s="115"/>
      <c r="BL293" s="115"/>
      <c r="BM293" s="115"/>
      <c r="BN293" s="115"/>
      <c r="BO293" s="115"/>
      <c r="BP293" s="115"/>
      <c r="BQ293" s="115"/>
      <c r="BR293" s="115"/>
      <c r="BS293" s="115"/>
      <c r="BT293" s="115"/>
      <c r="BU293" s="115"/>
      <c r="BV293" s="115"/>
      <c r="BW293" s="115"/>
      <c r="BX293" s="115"/>
      <c r="BY293" s="115"/>
      <c r="BZ293" s="658"/>
      <c r="CA293" s="658"/>
      <c r="CB293" s="511"/>
      <c r="CC293" s="115"/>
      <c r="CD293" s="117"/>
      <c r="CE293" s="117"/>
      <c r="CF293" s="117"/>
    </row>
    <row r="294" spans="38:84" ht="19.5" customHeight="1">
      <c r="AL294" s="143"/>
      <c r="AX294" s="114"/>
      <c r="AY294" s="114"/>
      <c r="AZ294" s="542" t="s">
        <v>3155</v>
      </c>
      <c r="BA294" s="115"/>
      <c r="BB294" s="115"/>
      <c r="BC294" s="115"/>
      <c r="BD294" s="115"/>
      <c r="BE294" s="549" t="s">
        <v>3156</v>
      </c>
      <c r="BF294" s="115"/>
      <c r="BG294" s="546" t="s">
        <v>3157</v>
      </c>
      <c r="BH294" s="547" t="s">
        <v>3158</v>
      </c>
      <c r="BI294" s="115"/>
      <c r="BJ294" s="115"/>
      <c r="BK294" s="115"/>
      <c r="BL294" s="115"/>
      <c r="BM294" s="115"/>
      <c r="BN294" s="115"/>
      <c r="BO294" s="115"/>
      <c r="BP294" s="115"/>
      <c r="BQ294" s="115"/>
      <c r="BR294" s="115"/>
      <c r="BS294" s="115"/>
      <c r="BT294" s="115"/>
      <c r="BU294" s="115"/>
      <c r="BV294" s="115"/>
      <c r="BW294" s="115"/>
      <c r="BX294" s="115"/>
      <c r="BY294" s="115"/>
      <c r="BZ294" s="658"/>
      <c r="CA294" s="658"/>
      <c r="CB294" s="511"/>
      <c r="CC294" s="115"/>
      <c r="CD294" s="117"/>
      <c r="CE294" s="117"/>
      <c r="CF294" s="117"/>
    </row>
    <row r="295" spans="38:84" ht="19.5" customHeight="1">
      <c r="AL295" s="143"/>
      <c r="AX295" s="114"/>
      <c r="AY295" s="114"/>
      <c r="AZ295" s="542" t="s">
        <v>3159</v>
      </c>
      <c r="BA295" s="115"/>
      <c r="BB295" s="115"/>
      <c r="BC295" s="115"/>
      <c r="BD295" s="115"/>
      <c r="BE295" s="115"/>
      <c r="BF295" s="115"/>
      <c r="BG295" s="546" t="s">
        <v>3160</v>
      </c>
      <c r="BH295" s="547" t="s">
        <v>3161</v>
      </c>
      <c r="BI295" s="115"/>
      <c r="BJ295" s="115"/>
      <c r="BK295" s="115"/>
      <c r="BL295" s="115"/>
      <c r="BM295" s="115"/>
      <c r="BN295" s="115"/>
      <c r="BO295" s="115"/>
      <c r="BP295" s="115"/>
      <c r="BQ295" s="115"/>
      <c r="BR295" s="115"/>
      <c r="BS295" s="115"/>
      <c r="BT295" s="115"/>
      <c r="BU295" s="115"/>
      <c r="BV295" s="115"/>
      <c r="BW295" s="115"/>
      <c r="BX295" s="115"/>
      <c r="BY295" s="115"/>
      <c r="BZ295" s="658"/>
      <c r="CA295" s="658"/>
      <c r="CB295" s="511"/>
      <c r="CC295" s="115"/>
      <c r="CD295" s="117"/>
      <c r="CE295" s="117"/>
      <c r="CF295" s="117"/>
    </row>
    <row r="296" spans="38:84" ht="19.5" customHeight="1">
      <c r="AL296" s="143"/>
      <c r="AX296" s="114"/>
      <c r="AY296" s="114"/>
      <c r="AZ296" s="542" t="s">
        <v>3162</v>
      </c>
      <c r="BA296" s="115"/>
      <c r="BB296" s="115"/>
      <c r="BC296" s="115"/>
      <c r="BD296" s="115"/>
      <c r="BE296" s="115"/>
      <c r="BF296" s="115"/>
      <c r="BG296" s="546" t="s">
        <v>3163</v>
      </c>
      <c r="BH296" s="547" t="s">
        <v>3164</v>
      </c>
      <c r="BI296" s="115"/>
      <c r="BJ296" s="115"/>
      <c r="BK296" s="115"/>
      <c r="BL296" s="115"/>
      <c r="BM296" s="115"/>
      <c r="BN296" s="115"/>
      <c r="BO296" s="115"/>
      <c r="BP296" s="115"/>
      <c r="BQ296" s="115"/>
      <c r="BR296" s="115"/>
      <c r="BS296" s="115"/>
      <c r="BT296" s="115"/>
      <c r="BU296" s="115"/>
      <c r="BV296" s="115"/>
      <c r="BW296" s="115"/>
      <c r="BX296" s="115"/>
      <c r="BY296" s="115"/>
      <c r="BZ296" s="658"/>
      <c r="CA296" s="658"/>
      <c r="CB296" s="511"/>
      <c r="CC296" s="115"/>
      <c r="CD296" s="117"/>
      <c r="CE296" s="117"/>
      <c r="CF296" s="117"/>
    </row>
    <row r="297" spans="38:84" ht="19.5" customHeight="1">
      <c r="AL297" s="143"/>
      <c r="AX297" s="114"/>
      <c r="AY297" s="114"/>
      <c r="AZ297" s="545" t="s">
        <v>3165</v>
      </c>
      <c r="BA297" s="115"/>
      <c r="BB297" s="115"/>
      <c r="BC297" s="115"/>
      <c r="BD297" s="115"/>
      <c r="BE297" s="115"/>
      <c r="BF297" s="115"/>
      <c r="BG297" s="546" t="s">
        <v>3166</v>
      </c>
      <c r="BH297" s="547" t="s">
        <v>3167</v>
      </c>
      <c r="BI297" s="115"/>
      <c r="BJ297" s="115"/>
      <c r="BK297" s="115"/>
      <c r="BL297" s="115"/>
      <c r="BM297" s="115"/>
      <c r="BN297" s="115"/>
      <c r="BO297" s="115"/>
      <c r="BP297" s="115"/>
      <c r="BQ297" s="115"/>
      <c r="BR297" s="115"/>
      <c r="BS297" s="115"/>
      <c r="BT297" s="115"/>
      <c r="BU297" s="115"/>
      <c r="BV297" s="115"/>
      <c r="BW297" s="115"/>
      <c r="BX297" s="115"/>
      <c r="BY297" s="115"/>
      <c r="BZ297" s="658"/>
      <c r="CA297" s="658"/>
      <c r="CB297" s="511"/>
      <c r="CC297" s="115"/>
      <c r="CD297" s="117"/>
      <c r="CE297" s="117"/>
      <c r="CF297" s="117"/>
    </row>
    <row r="298" spans="38:84" ht="19.5" customHeight="1">
      <c r="AL298" s="143"/>
      <c r="AX298" s="114"/>
      <c r="AY298" s="114"/>
      <c r="AZ298" s="114"/>
      <c r="BA298" s="115"/>
      <c r="BB298" s="115"/>
      <c r="BC298" s="115"/>
      <c r="BD298" s="115"/>
      <c r="BE298" s="115"/>
      <c r="BF298" s="115"/>
      <c r="BG298" s="546" t="s">
        <v>3168</v>
      </c>
      <c r="BH298" s="547" t="s">
        <v>3169</v>
      </c>
      <c r="BI298" s="115"/>
      <c r="BJ298" s="115"/>
      <c r="BK298" s="115"/>
      <c r="BL298" s="115"/>
      <c r="BM298" s="115"/>
      <c r="BN298" s="115"/>
      <c r="BO298" s="115"/>
      <c r="BP298" s="115"/>
      <c r="BQ298" s="115"/>
      <c r="BR298" s="115"/>
      <c r="BS298" s="115"/>
      <c r="BT298" s="115"/>
      <c r="BU298" s="115"/>
      <c r="BV298" s="115"/>
      <c r="BW298" s="115"/>
      <c r="BX298" s="115"/>
      <c r="BY298" s="115"/>
      <c r="BZ298" s="658"/>
      <c r="CA298" s="658"/>
      <c r="CB298" s="511"/>
      <c r="CC298" s="115"/>
      <c r="CD298" s="117"/>
      <c r="CE298" s="117"/>
      <c r="CF298" s="117"/>
    </row>
    <row r="299" spans="38:84" ht="19.5" customHeight="1">
      <c r="AL299" s="143"/>
      <c r="AX299" s="114"/>
      <c r="AY299" s="114"/>
      <c r="AZ299" s="114"/>
      <c r="BA299" s="115"/>
      <c r="BB299" s="115"/>
      <c r="BC299" s="115"/>
      <c r="BD299" s="115"/>
      <c r="BE299" s="115"/>
      <c r="BF299" s="115"/>
      <c r="BG299" s="546" t="s">
        <v>3170</v>
      </c>
      <c r="BH299" s="547" t="s">
        <v>3171</v>
      </c>
      <c r="BI299" s="115"/>
      <c r="BJ299" s="115"/>
      <c r="BK299" s="115"/>
      <c r="BL299" s="115"/>
      <c r="BM299" s="115"/>
      <c r="BN299" s="115"/>
      <c r="BO299" s="115"/>
      <c r="BP299" s="115"/>
      <c r="BQ299" s="115"/>
      <c r="BR299" s="115"/>
      <c r="BS299" s="115"/>
      <c r="BT299" s="115"/>
      <c r="BU299" s="115"/>
      <c r="BV299" s="115"/>
      <c r="BW299" s="115"/>
      <c r="BX299" s="115"/>
      <c r="BY299" s="115"/>
      <c r="BZ299" s="658"/>
      <c r="CA299" s="658"/>
      <c r="CB299" s="511"/>
      <c r="CC299" s="115"/>
      <c r="CD299" s="117"/>
      <c r="CE299" s="117"/>
      <c r="CF299" s="117"/>
    </row>
    <row r="300" spans="38:84" ht="19.5" customHeight="1">
      <c r="AL300" s="143"/>
      <c r="AX300" s="114"/>
      <c r="AY300" s="114"/>
      <c r="AZ300" s="114"/>
      <c r="BA300" s="115"/>
      <c r="BB300" s="115"/>
      <c r="BC300" s="115"/>
      <c r="BD300" s="115"/>
      <c r="BE300" s="115"/>
      <c r="BF300" s="115"/>
      <c r="BG300" s="546" t="s">
        <v>3172</v>
      </c>
      <c r="BH300" s="547" t="s">
        <v>3173</v>
      </c>
      <c r="BI300" s="115"/>
      <c r="BJ300" s="115"/>
      <c r="BK300" s="115"/>
      <c r="BL300" s="115"/>
      <c r="BM300" s="115"/>
      <c r="BN300" s="115"/>
      <c r="BO300" s="115"/>
      <c r="BP300" s="115"/>
      <c r="BQ300" s="115"/>
      <c r="BR300" s="115"/>
      <c r="BS300" s="115"/>
      <c r="BT300" s="115"/>
      <c r="BU300" s="115"/>
      <c r="BV300" s="115"/>
      <c r="BW300" s="115"/>
      <c r="BX300" s="115"/>
      <c r="BY300" s="115"/>
      <c r="BZ300" s="658"/>
      <c r="CA300" s="658"/>
      <c r="CB300" s="511"/>
      <c r="CC300" s="115"/>
      <c r="CD300" s="117"/>
      <c r="CE300" s="117"/>
      <c r="CF300" s="117"/>
    </row>
    <row r="301" spans="38:84" ht="19.5" customHeight="1">
      <c r="AL301" s="143"/>
      <c r="AX301" s="114"/>
      <c r="AY301" s="114"/>
      <c r="AZ301" s="114"/>
      <c r="BA301" s="115"/>
      <c r="BB301" s="115"/>
      <c r="BC301" s="115"/>
      <c r="BD301" s="115"/>
      <c r="BE301" s="115"/>
      <c r="BF301" s="115"/>
      <c r="BG301" s="546" t="s">
        <v>3174</v>
      </c>
      <c r="BH301" s="547" t="s">
        <v>3175</v>
      </c>
      <c r="BI301" s="115"/>
      <c r="BJ301" s="115"/>
      <c r="BK301" s="115"/>
      <c r="BL301" s="115"/>
      <c r="BM301" s="115"/>
      <c r="BN301" s="115"/>
      <c r="BO301" s="115"/>
      <c r="BP301" s="115"/>
      <c r="BQ301" s="115"/>
      <c r="BR301" s="115"/>
      <c r="BS301" s="115"/>
      <c r="BT301" s="115"/>
      <c r="BU301" s="115"/>
      <c r="BV301" s="115"/>
      <c r="BW301" s="115"/>
      <c r="BX301" s="115"/>
      <c r="BY301" s="115"/>
      <c r="BZ301" s="658"/>
      <c r="CA301" s="658"/>
      <c r="CB301" s="511"/>
      <c r="CC301" s="115"/>
      <c r="CD301" s="117"/>
      <c r="CE301" s="117"/>
      <c r="CF301" s="117"/>
    </row>
    <row r="302" spans="38:84" ht="19.5" customHeight="1">
      <c r="AL302" s="143"/>
      <c r="AX302" s="114"/>
      <c r="AY302" s="114"/>
      <c r="AZ302" s="114"/>
      <c r="BA302" s="115"/>
      <c r="BB302" s="115"/>
      <c r="BC302" s="115"/>
      <c r="BD302" s="115"/>
      <c r="BE302" s="115"/>
      <c r="BF302" s="115"/>
      <c r="BG302" s="546" t="s">
        <v>3176</v>
      </c>
      <c r="BH302" s="547" t="s">
        <v>3177</v>
      </c>
      <c r="BI302" s="115"/>
      <c r="BJ302" s="115"/>
      <c r="BK302" s="115"/>
      <c r="BL302" s="115"/>
      <c r="BM302" s="115"/>
      <c r="BN302" s="115"/>
      <c r="BO302" s="115"/>
      <c r="BP302" s="115"/>
      <c r="BQ302" s="115"/>
      <c r="BR302" s="115"/>
      <c r="BS302" s="115"/>
      <c r="BT302" s="115"/>
      <c r="BU302" s="115"/>
      <c r="BV302" s="115"/>
      <c r="BW302" s="115"/>
      <c r="BX302" s="115"/>
      <c r="BY302" s="115"/>
      <c r="BZ302" s="658"/>
      <c r="CA302" s="658"/>
      <c r="CB302" s="511"/>
      <c r="CC302" s="115"/>
      <c r="CD302" s="117"/>
      <c r="CE302" s="117"/>
      <c r="CF302" s="117"/>
    </row>
    <row r="303" spans="38:84" ht="19.5" customHeight="1">
      <c r="AL303" s="143"/>
      <c r="AX303" s="114"/>
      <c r="AY303" s="114"/>
      <c r="AZ303" s="114"/>
      <c r="BA303" s="115"/>
      <c r="BB303" s="115"/>
      <c r="BC303" s="115"/>
      <c r="BD303" s="115"/>
      <c r="BE303" s="115"/>
      <c r="BF303" s="115"/>
      <c r="BG303" s="546" t="s">
        <v>3178</v>
      </c>
      <c r="BH303" s="547" t="s">
        <v>3179</v>
      </c>
      <c r="BI303" s="115"/>
      <c r="BJ303" s="115"/>
      <c r="BK303" s="115"/>
      <c r="BL303" s="115"/>
      <c r="BM303" s="115"/>
      <c r="BN303" s="115"/>
      <c r="BO303" s="115"/>
      <c r="BP303" s="115"/>
      <c r="BQ303" s="115"/>
      <c r="BR303" s="115"/>
      <c r="BS303" s="115"/>
      <c r="BT303" s="115"/>
      <c r="BU303" s="115"/>
      <c r="BV303" s="115"/>
      <c r="BW303" s="115"/>
      <c r="BX303" s="115"/>
      <c r="BY303" s="115"/>
      <c r="BZ303" s="658"/>
      <c r="CA303" s="658"/>
      <c r="CB303" s="511"/>
      <c r="CC303" s="115"/>
      <c r="CD303" s="117"/>
      <c r="CE303" s="117"/>
      <c r="CF303" s="117"/>
    </row>
    <row r="304" spans="38:84" ht="19.5" customHeight="1">
      <c r="AL304" s="143"/>
      <c r="AX304" s="114"/>
      <c r="AY304" s="114"/>
      <c r="AZ304" s="114"/>
      <c r="BA304" s="115"/>
      <c r="BB304" s="115"/>
      <c r="BC304" s="115"/>
      <c r="BD304" s="115"/>
      <c r="BE304" s="115"/>
      <c r="BF304" s="115"/>
      <c r="BG304" s="546" t="s">
        <v>3180</v>
      </c>
      <c r="BH304" s="547" t="s">
        <v>3181</v>
      </c>
      <c r="BI304" s="115"/>
      <c r="BJ304" s="115"/>
      <c r="BK304" s="115"/>
      <c r="BL304" s="115"/>
      <c r="BM304" s="115"/>
      <c r="BN304" s="115"/>
      <c r="BO304" s="115"/>
      <c r="BP304" s="115"/>
      <c r="BQ304" s="115"/>
      <c r="BR304" s="115"/>
      <c r="BS304" s="115"/>
      <c r="BT304" s="115"/>
      <c r="BU304" s="115"/>
      <c r="BV304" s="115"/>
      <c r="BW304" s="115"/>
      <c r="BX304" s="115"/>
      <c r="BY304" s="115"/>
      <c r="BZ304" s="658"/>
      <c r="CA304" s="658"/>
      <c r="CB304" s="511"/>
      <c r="CC304" s="115"/>
      <c r="CD304" s="117"/>
      <c r="CE304" s="117"/>
      <c r="CF304" s="117"/>
    </row>
    <row r="305" spans="38:84" ht="19.5" customHeight="1">
      <c r="AL305" s="143"/>
      <c r="AX305" s="114"/>
      <c r="AY305" s="114"/>
      <c r="AZ305" s="114"/>
      <c r="BA305" s="115"/>
      <c r="BB305" s="115"/>
      <c r="BC305" s="115"/>
      <c r="BD305" s="115"/>
      <c r="BE305" s="115"/>
      <c r="BF305" s="115"/>
      <c r="BG305" s="548" t="s">
        <v>3182</v>
      </c>
      <c r="BH305" s="547" t="s">
        <v>3183</v>
      </c>
      <c r="BI305" s="115"/>
      <c r="BJ305" s="115"/>
      <c r="BK305" s="115"/>
      <c r="BL305" s="115"/>
      <c r="BM305" s="115"/>
      <c r="BN305" s="115"/>
      <c r="BO305" s="115"/>
      <c r="BP305" s="115"/>
      <c r="BQ305" s="115"/>
      <c r="BR305" s="115"/>
      <c r="BS305" s="115"/>
      <c r="BT305" s="115"/>
      <c r="BU305" s="115"/>
      <c r="BV305" s="115"/>
      <c r="BW305" s="115"/>
      <c r="BX305" s="115"/>
      <c r="BY305" s="115"/>
      <c r="BZ305" s="658"/>
      <c r="CA305" s="658"/>
      <c r="CB305" s="511"/>
      <c r="CC305" s="115"/>
      <c r="CD305" s="117"/>
      <c r="CE305" s="117"/>
      <c r="CF305" s="117"/>
    </row>
    <row r="306" spans="38:84" ht="19.5" customHeight="1">
      <c r="AL306" s="143"/>
      <c r="AX306" s="114"/>
      <c r="AY306" s="114"/>
      <c r="AZ306" s="114"/>
      <c r="BA306" s="115"/>
      <c r="BB306" s="115"/>
      <c r="BC306" s="115"/>
      <c r="BD306" s="115"/>
      <c r="BE306" s="115"/>
      <c r="BF306" s="115"/>
      <c r="BG306" s="115"/>
      <c r="BH306" s="547" t="s">
        <v>3184</v>
      </c>
      <c r="BI306" s="115"/>
      <c r="BJ306" s="115"/>
      <c r="BK306" s="115"/>
      <c r="BL306" s="115"/>
      <c r="BM306" s="115"/>
      <c r="BN306" s="115"/>
      <c r="BO306" s="115"/>
      <c r="BP306" s="115"/>
      <c r="BQ306" s="115"/>
      <c r="BR306" s="115"/>
      <c r="BS306" s="115"/>
      <c r="BT306" s="115"/>
      <c r="BU306" s="115"/>
      <c r="BV306" s="115"/>
      <c r="BW306" s="115"/>
      <c r="BX306" s="115"/>
      <c r="BY306" s="115"/>
      <c r="BZ306" s="658"/>
      <c r="CA306" s="658"/>
      <c r="CB306" s="511"/>
      <c r="CC306" s="115"/>
      <c r="CD306" s="117"/>
      <c r="CE306" s="117"/>
      <c r="CF306" s="117"/>
    </row>
    <row r="307" spans="38:84" ht="19.5" customHeight="1">
      <c r="AL307" s="143"/>
      <c r="AX307" s="114"/>
      <c r="AY307" s="114"/>
      <c r="AZ307" s="114"/>
      <c r="BA307" s="115"/>
      <c r="BB307" s="115"/>
      <c r="BC307" s="115"/>
      <c r="BD307" s="115"/>
      <c r="BE307" s="115"/>
      <c r="BF307" s="115"/>
      <c r="BG307" s="115"/>
      <c r="BH307" s="547" t="s">
        <v>3185</v>
      </c>
      <c r="BI307" s="115"/>
      <c r="BJ307" s="115"/>
      <c r="BK307" s="115"/>
      <c r="BL307" s="115"/>
      <c r="BM307" s="115"/>
      <c r="BN307" s="115"/>
      <c r="BO307" s="115"/>
      <c r="BP307" s="115"/>
      <c r="BQ307" s="115"/>
      <c r="BR307" s="115"/>
      <c r="BS307" s="115"/>
      <c r="BT307" s="115"/>
      <c r="BU307" s="115"/>
      <c r="BV307" s="115"/>
      <c r="BW307" s="115"/>
      <c r="BX307" s="115"/>
      <c r="BY307" s="115"/>
      <c r="BZ307" s="658"/>
      <c r="CA307" s="658"/>
      <c r="CB307" s="511"/>
      <c r="CC307" s="115"/>
      <c r="CD307" s="117"/>
      <c r="CE307" s="117"/>
      <c r="CF307" s="117"/>
    </row>
    <row r="308" spans="38:84" ht="19.5" customHeight="1">
      <c r="AL308" s="143"/>
      <c r="AX308" s="114"/>
      <c r="AY308" s="114"/>
      <c r="AZ308" s="114"/>
      <c r="BA308" s="115"/>
      <c r="BB308" s="115"/>
      <c r="BC308" s="115"/>
      <c r="BD308" s="115"/>
      <c r="BE308" s="115"/>
      <c r="BF308" s="115"/>
      <c r="BG308" s="115"/>
      <c r="BH308" s="547" t="s">
        <v>3186</v>
      </c>
      <c r="BI308" s="115"/>
      <c r="BJ308" s="115"/>
      <c r="BK308" s="115"/>
      <c r="BL308" s="115"/>
      <c r="BM308" s="115"/>
      <c r="BN308" s="115"/>
      <c r="BO308" s="115"/>
      <c r="BP308" s="115"/>
      <c r="BQ308" s="115"/>
      <c r="BR308" s="115"/>
      <c r="BS308" s="115"/>
      <c r="BT308" s="115"/>
      <c r="BU308" s="115"/>
      <c r="BV308" s="115"/>
      <c r="BW308" s="115"/>
      <c r="BX308" s="115"/>
      <c r="BY308" s="115"/>
      <c r="BZ308" s="658"/>
      <c r="CA308" s="658"/>
      <c r="CB308" s="511"/>
      <c r="CC308" s="115"/>
      <c r="CD308" s="117"/>
      <c r="CE308" s="117"/>
      <c r="CF308" s="117"/>
    </row>
    <row r="309" spans="38:84" ht="19.5" customHeight="1">
      <c r="AL309" s="143"/>
      <c r="AX309" s="114"/>
      <c r="AY309" s="114"/>
      <c r="AZ309" s="114"/>
      <c r="BA309" s="115"/>
      <c r="BB309" s="115"/>
      <c r="BC309" s="115"/>
      <c r="BD309" s="115"/>
      <c r="BE309" s="115"/>
      <c r="BF309" s="115"/>
      <c r="BG309" s="115"/>
      <c r="BH309" s="547" t="s">
        <v>3187</v>
      </c>
      <c r="BI309" s="115"/>
      <c r="BJ309" s="115"/>
      <c r="BK309" s="115"/>
      <c r="BL309" s="115"/>
      <c r="BM309" s="115"/>
      <c r="BN309" s="115"/>
      <c r="BO309" s="115"/>
      <c r="BP309" s="115"/>
      <c r="BQ309" s="115"/>
      <c r="BR309" s="115"/>
      <c r="BS309" s="115"/>
      <c r="BT309" s="115"/>
      <c r="BU309" s="115"/>
      <c r="BV309" s="115"/>
      <c r="BW309" s="115"/>
      <c r="BX309" s="115"/>
      <c r="BY309" s="115"/>
      <c r="BZ309" s="658"/>
      <c r="CA309" s="658"/>
      <c r="CB309" s="511"/>
      <c r="CC309" s="115"/>
      <c r="CD309" s="117"/>
      <c r="CE309" s="117"/>
      <c r="CF309" s="117"/>
    </row>
    <row r="310" spans="38:84" ht="19.5" customHeight="1">
      <c r="AL310" s="143"/>
      <c r="AX310" s="114"/>
      <c r="AY310" s="114"/>
      <c r="AZ310" s="114"/>
      <c r="BA310" s="115"/>
      <c r="BB310" s="115"/>
      <c r="BC310" s="115"/>
      <c r="BD310" s="115"/>
      <c r="BE310" s="115"/>
      <c r="BF310" s="115"/>
      <c r="BG310" s="115"/>
      <c r="BH310" s="547" t="s">
        <v>3188</v>
      </c>
      <c r="BI310" s="115"/>
      <c r="BJ310" s="115"/>
      <c r="BK310" s="115"/>
      <c r="BL310" s="115"/>
      <c r="BM310" s="115"/>
      <c r="BN310" s="115"/>
      <c r="BO310" s="115"/>
      <c r="BP310" s="115"/>
      <c r="BQ310" s="115"/>
      <c r="BR310" s="115"/>
      <c r="BS310" s="115"/>
      <c r="BT310" s="115"/>
      <c r="BU310" s="115"/>
      <c r="BV310" s="115"/>
      <c r="BW310" s="115"/>
      <c r="BX310" s="115"/>
      <c r="BY310" s="115"/>
      <c r="BZ310" s="658"/>
      <c r="CA310" s="658"/>
      <c r="CB310" s="511"/>
      <c r="CC310" s="115"/>
      <c r="CD310" s="117"/>
      <c r="CE310" s="117"/>
      <c r="CF310" s="117"/>
    </row>
    <row r="311" spans="38:84" ht="19.5" customHeight="1">
      <c r="AL311" s="143"/>
      <c r="AX311" s="114"/>
      <c r="AY311" s="114"/>
      <c r="AZ311" s="114"/>
      <c r="BA311" s="115"/>
      <c r="BB311" s="115"/>
      <c r="BC311" s="115"/>
      <c r="BD311" s="115"/>
      <c r="BE311" s="115"/>
      <c r="BF311" s="115"/>
      <c r="BG311" s="115"/>
      <c r="BH311" s="547" t="s">
        <v>3189</v>
      </c>
      <c r="BI311" s="115"/>
      <c r="BJ311" s="115"/>
      <c r="BK311" s="115"/>
      <c r="BL311" s="115"/>
      <c r="BM311" s="115"/>
      <c r="BN311" s="115"/>
      <c r="BO311" s="115"/>
      <c r="BP311" s="115"/>
      <c r="BQ311" s="115"/>
      <c r="BR311" s="115"/>
      <c r="BS311" s="115"/>
      <c r="BT311" s="115"/>
      <c r="BU311" s="115"/>
      <c r="BV311" s="115"/>
      <c r="BW311" s="115"/>
      <c r="BX311" s="115"/>
      <c r="BY311" s="115"/>
      <c r="BZ311" s="658"/>
      <c r="CA311" s="658"/>
      <c r="CB311" s="511"/>
      <c r="CC311" s="115"/>
      <c r="CD311" s="117"/>
      <c r="CE311" s="117"/>
      <c r="CF311" s="117"/>
    </row>
    <row r="312" spans="38:84" ht="19.5" customHeight="1">
      <c r="AL312" s="143"/>
      <c r="AX312" s="114"/>
      <c r="AY312" s="114"/>
      <c r="AZ312" s="114"/>
      <c r="BA312" s="115"/>
      <c r="BB312" s="115"/>
      <c r="BC312" s="115"/>
      <c r="BD312" s="115"/>
      <c r="BE312" s="115"/>
      <c r="BF312" s="115"/>
      <c r="BG312" s="115"/>
      <c r="BH312" s="549" t="s">
        <v>3190</v>
      </c>
      <c r="BI312" s="115"/>
      <c r="BJ312" s="115"/>
      <c r="BK312" s="115"/>
      <c r="BL312" s="115"/>
      <c r="BM312" s="115"/>
      <c r="BN312" s="115"/>
      <c r="BO312" s="115"/>
      <c r="BP312" s="115"/>
      <c r="BQ312" s="115"/>
      <c r="BR312" s="115"/>
      <c r="BS312" s="115"/>
      <c r="BT312" s="115"/>
      <c r="BU312" s="115"/>
      <c r="BV312" s="115"/>
      <c r="BW312" s="115"/>
      <c r="BX312" s="115"/>
      <c r="BY312" s="115"/>
      <c r="BZ312" s="658"/>
      <c r="CA312" s="658"/>
      <c r="CB312" s="511"/>
      <c r="CC312" s="115"/>
      <c r="CD312" s="117"/>
      <c r="CE312" s="117"/>
      <c r="CF312" s="117"/>
    </row>
    <row r="313" spans="38:84" ht="19.5" customHeight="1">
      <c r="AL313" s="143"/>
      <c r="BA313" s="20"/>
      <c r="BB313" s="20"/>
      <c r="BC313" s="20"/>
      <c r="BD313" s="20"/>
      <c r="BE313" s="20"/>
      <c r="BF313" s="20"/>
      <c r="BG313" s="20"/>
      <c r="BH313" s="20"/>
      <c r="BI313" s="20"/>
      <c r="BJ313" s="20"/>
      <c r="BK313" s="20"/>
      <c r="BL313" s="20"/>
      <c r="BM313" s="20"/>
      <c r="BN313" s="20"/>
      <c r="BO313" s="20"/>
      <c r="BP313" s="20"/>
      <c r="BQ313" s="20"/>
      <c r="BR313" s="20"/>
      <c r="BS313" s="20"/>
    </row>
    <row r="314" spans="38:84" ht="19.5" customHeight="1">
      <c r="AL314" s="143"/>
      <c r="AX314" s="114" t="s">
        <v>3405</v>
      </c>
      <c r="AY314" s="114"/>
      <c r="AZ314" s="114"/>
      <c r="BA314" s="115"/>
      <c r="BB314" s="115"/>
      <c r="BC314" s="115"/>
      <c r="BD314" s="115"/>
      <c r="BE314" s="115"/>
      <c r="BF314" s="115"/>
      <c r="BG314" s="115"/>
      <c r="BH314" s="115"/>
      <c r="BI314" s="115"/>
      <c r="BJ314" s="115"/>
      <c r="BK314" s="115"/>
      <c r="BL314" s="115"/>
      <c r="BM314" s="115"/>
      <c r="BN314" s="115"/>
      <c r="BO314" s="115"/>
      <c r="BP314" s="115"/>
      <c r="BQ314" s="115"/>
      <c r="BR314" s="115"/>
      <c r="BS314" s="115"/>
    </row>
    <row r="315" spans="38:84" ht="19.5" customHeight="1">
      <c r="AL315" s="143"/>
      <c r="AX315" s="539" t="s">
        <v>1028</v>
      </c>
      <c r="AY315" s="539" t="s">
        <v>2283</v>
      </c>
      <c r="AZ315" s="539" t="s">
        <v>3406</v>
      </c>
      <c r="BA315" s="541" t="s">
        <v>3407</v>
      </c>
      <c r="BB315" s="541" t="s">
        <v>3408</v>
      </c>
      <c r="BC315" s="541" t="s">
        <v>3409</v>
      </c>
      <c r="BD315" s="541" t="s">
        <v>3410</v>
      </c>
      <c r="BE315" s="541" t="s">
        <v>2441</v>
      </c>
      <c r="BF315" s="541" t="s">
        <v>3000</v>
      </c>
      <c r="BG315" s="541" t="s">
        <v>3411</v>
      </c>
      <c r="BH315" s="541" t="s">
        <v>3412</v>
      </c>
      <c r="BI315" s="541" t="s">
        <v>3413</v>
      </c>
      <c r="BJ315" s="541" t="s">
        <v>3414</v>
      </c>
      <c r="BK315" s="541" t="s">
        <v>3415</v>
      </c>
      <c r="BL315" s="541" t="s">
        <v>3416</v>
      </c>
      <c r="BM315" s="541" t="s">
        <v>2448</v>
      </c>
      <c r="BN315" s="541" t="s">
        <v>2451</v>
      </c>
      <c r="BO315" s="541" t="s">
        <v>3417</v>
      </c>
      <c r="BP315" s="541" t="s">
        <v>1792</v>
      </c>
      <c r="BQ315" s="541" t="s">
        <v>3418</v>
      </c>
      <c r="BR315" s="541" t="s">
        <v>3419</v>
      </c>
      <c r="BS315" s="541" t="s">
        <v>2080</v>
      </c>
    </row>
    <row r="316" spans="38:84" ht="19.5" customHeight="1">
      <c r="AL316" s="143"/>
      <c r="AX316" s="543" t="s">
        <v>2073</v>
      </c>
      <c r="AY316" s="636" t="s">
        <v>2073</v>
      </c>
      <c r="AZ316" s="543" t="s">
        <v>2073</v>
      </c>
      <c r="BA316" s="647" t="s">
        <v>2073</v>
      </c>
      <c r="BB316" s="647" t="s">
        <v>2073</v>
      </c>
      <c r="BC316" s="647" t="s">
        <v>2073</v>
      </c>
      <c r="BD316" s="646" t="s">
        <v>2073</v>
      </c>
      <c r="BE316" s="647" t="s">
        <v>2073</v>
      </c>
      <c r="BF316" s="647" t="s">
        <v>2073</v>
      </c>
      <c r="BG316" s="647" t="s">
        <v>2073</v>
      </c>
      <c r="BH316" s="646" t="s">
        <v>2073</v>
      </c>
      <c r="BI316" s="646" t="s">
        <v>2073</v>
      </c>
      <c r="BJ316" s="646" t="s">
        <v>2073</v>
      </c>
      <c r="BK316" s="647" t="s">
        <v>2073</v>
      </c>
      <c r="BL316" s="646" t="s">
        <v>2073</v>
      </c>
      <c r="BM316" s="646" t="s">
        <v>2073</v>
      </c>
      <c r="BN316" s="647" t="s">
        <v>2073</v>
      </c>
      <c r="BO316" s="646" t="s">
        <v>2073</v>
      </c>
      <c r="BP316" s="647" t="s">
        <v>2073</v>
      </c>
      <c r="BQ316" s="646" t="s">
        <v>2073</v>
      </c>
      <c r="BR316" s="646" t="s">
        <v>2073</v>
      </c>
      <c r="BS316" s="541" t="s">
        <v>2073</v>
      </c>
    </row>
    <row r="317" spans="38:84" ht="19.5" customHeight="1">
      <c r="AL317" s="143"/>
      <c r="AX317" s="542" t="s">
        <v>3420</v>
      </c>
      <c r="AY317" s="544" t="s">
        <v>3421</v>
      </c>
      <c r="AZ317" s="542" t="s">
        <v>3422</v>
      </c>
      <c r="BA317" s="546" t="s">
        <v>3423</v>
      </c>
      <c r="BB317" s="546" t="s">
        <v>3424</v>
      </c>
      <c r="BC317" s="546" t="s">
        <v>3425</v>
      </c>
      <c r="BD317" s="547" t="s">
        <v>3426</v>
      </c>
      <c r="BE317" s="546" t="s">
        <v>3427</v>
      </c>
      <c r="BF317" s="546" t="s">
        <v>3428</v>
      </c>
      <c r="BG317" s="546" t="s">
        <v>3429</v>
      </c>
      <c r="BH317" s="547" t="s">
        <v>3430</v>
      </c>
      <c r="BI317" s="547" t="s">
        <v>3431</v>
      </c>
      <c r="BJ317" s="547" t="s">
        <v>3432</v>
      </c>
      <c r="BK317" s="546" t="s">
        <v>3433</v>
      </c>
      <c r="BL317" s="547" t="s">
        <v>3434</v>
      </c>
      <c r="BM317" s="547" t="s">
        <v>3435</v>
      </c>
      <c r="BN317" s="546" t="s">
        <v>3436</v>
      </c>
      <c r="BO317" s="547" t="s">
        <v>3437</v>
      </c>
      <c r="BP317" s="546" t="s">
        <v>3438</v>
      </c>
      <c r="BQ317" s="547" t="s">
        <v>3439</v>
      </c>
      <c r="BR317" s="547" t="s">
        <v>3440</v>
      </c>
      <c r="BS317" s="115"/>
    </row>
    <row r="318" spans="38:84" ht="19.5" customHeight="1">
      <c r="AL318" s="143"/>
      <c r="AX318" s="542" t="s">
        <v>3441</v>
      </c>
      <c r="AY318" s="544" t="s">
        <v>3442</v>
      </c>
      <c r="AZ318" s="542" t="s">
        <v>3443</v>
      </c>
      <c r="BA318" s="548" t="s">
        <v>3444</v>
      </c>
      <c r="BB318" s="546" t="s">
        <v>3445</v>
      </c>
      <c r="BC318" s="546" t="s">
        <v>3446</v>
      </c>
      <c r="BD318" s="547" t="s">
        <v>3447</v>
      </c>
      <c r="BE318" s="546" t="s">
        <v>3448</v>
      </c>
      <c r="BF318" s="546" t="s">
        <v>3449</v>
      </c>
      <c r="BG318" s="546" t="s">
        <v>3450</v>
      </c>
      <c r="BH318" s="547" t="s">
        <v>3451</v>
      </c>
      <c r="BI318" s="547" t="s">
        <v>3452</v>
      </c>
      <c r="BJ318" s="547" t="s">
        <v>3453</v>
      </c>
      <c r="BK318" s="548" t="s">
        <v>3454</v>
      </c>
      <c r="BL318" s="547" t="s">
        <v>3455</v>
      </c>
      <c r="BM318" s="547" t="s">
        <v>3456</v>
      </c>
      <c r="BN318" s="546" t="s">
        <v>3457</v>
      </c>
      <c r="BO318" s="547" t="s">
        <v>3458</v>
      </c>
      <c r="BP318" s="546" t="s">
        <v>3459</v>
      </c>
      <c r="BQ318" s="547" t="s">
        <v>3460</v>
      </c>
      <c r="BR318" s="549" t="s">
        <v>3461</v>
      </c>
      <c r="BS318" s="115"/>
    </row>
    <row r="319" spans="38:84" ht="19.5" customHeight="1">
      <c r="AL319" s="143"/>
      <c r="AX319" s="542" t="s">
        <v>3462</v>
      </c>
      <c r="AY319" s="544" t="s">
        <v>3463</v>
      </c>
      <c r="AZ319" s="542" t="s">
        <v>3464</v>
      </c>
      <c r="BA319" s="115"/>
      <c r="BB319" s="548" t="s">
        <v>3404</v>
      </c>
      <c r="BC319" s="546" t="s">
        <v>3465</v>
      </c>
      <c r="BD319" s="547" t="s">
        <v>3466</v>
      </c>
      <c r="BE319" s="546" t="s">
        <v>3467</v>
      </c>
      <c r="BF319" s="546" t="s">
        <v>3468</v>
      </c>
      <c r="BG319" s="546" t="s">
        <v>3469</v>
      </c>
      <c r="BH319" s="547" t="s">
        <v>3470</v>
      </c>
      <c r="BI319" s="547" t="s">
        <v>3471</v>
      </c>
      <c r="BJ319" s="547" t="s">
        <v>3472</v>
      </c>
      <c r="BK319" s="115"/>
      <c r="BL319" s="547" t="s">
        <v>3473</v>
      </c>
      <c r="BM319" s="547" t="s">
        <v>3474</v>
      </c>
      <c r="BN319" s="546" t="s">
        <v>3475</v>
      </c>
      <c r="BO319" s="547" t="s">
        <v>3476</v>
      </c>
      <c r="BP319" s="548" t="s">
        <v>3477</v>
      </c>
      <c r="BQ319" s="547" t="s">
        <v>3478</v>
      </c>
      <c r="BR319" s="115"/>
      <c r="BS319" s="115"/>
    </row>
    <row r="320" spans="38:84" ht="19.5" customHeight="1">
      <c r="AL320" s="143"/>
      <c r="AX320" s="542" t="s">
        <v>3402</v>
      </c>
      <c r="AY320" s="637" t="s">
        <v>3479</v>
      </c>
      <c r="AZ320" s="542" t="s">
        <v>3480</v>
      </c>
      <c r="BA320" s="115"/>
      <c r="BB320" s="115"/>
      <c r="BC320" s="546" t="s">
        <v>3481</v>
      </c>
      <c r="BD320" s="547" t="s">
        <v>3482</v>
      </c>
      <c r="BE320" s="548" t="s">
        <v>3483</v>
      </c>
      <c r="BF320" s="546" t="s">
        <v>3484</v>
      </c>
      <c r="BG320" s="546" t="s">
        <v>3485</v>
      </c>
      <c r="BH320" s="547" t="s">
        <v>3486</v>
      </c>
      <c r="BI320" s="547" t="s">
        <v>3487</v>
      </c>
      <c r="BJ320" s="547" t="s">
        <v>3488</v>
      </c>
      <c r="BK320" s="115"/>
      <c r="BL320" s="547" t="s">
        <v>3489</v>
      </c>
      <c r="BM320" s="547" t="s">
        <v>3490</v>
      </c>
      <c r="BN320" s="548" t="s">
        <v>3491</v>
      </c>
      <c r="BO320" s="547" t="s">
        <v>3492</v>
      </c>
      <c r="BP320" s="115"/>
      <c r="BQ320" s="549" t="s">
        <v>3493</v>
      </c>
      <c r="BR320" s="115"/>
      <c r="BS320" s="115"/>
    </row>
    <row r="321" spans="38:71" ht="19.5" customHeight="1">
      <c r="AL321" s="143"/>
      <c r="AX321" s="542" t="s">
        <v>3494</v>
      </c>
      <c r="AY321" s="114"/>
      <c r="AZ321" s="542" t="s">
        <v>3495</v>
      </c>
      <c r="BA321" s="115"/>
      <c r="BB321" s="115"/>
      <c r="BC321" s="546" t="s">
        <v>3496</v>
      </c>
      <c r="BD321" s="547" t="s">
        <v>3497</v>
      </c>
      <c r="BE321" s="115"/>
      <c r="BF321" s="546" t="s">
        <v>3498</v>
      </c>
      <c r="BG321" s="546" t="s">
        <v>3499</v>
      </c>
      <c r="BH321" s="547" t="s">
        <v>3500</v>
      </c>
      <c r="BI321" s="549" t="s">
        <v>3501</v>
      </c>
      <c r="BJ321" s="549" t="s">
        <v>3502</v>
      </c>
      <c r="BK321" s="115"/>
      <c r="BL321" s="547" t="s">
        <v>3503</v>
      </c>
      <c r="BM321" s="547" t="s">
        <v>3504</v>
      </c>
      <c r="BN321" s="115"/>
      <c r="BO321" s="547" t="s">
        <v>3505</v>
      </c>
      <c r="BP321" s="115"/>
      <c r="BQ321" s="115"/>
      <c r="BR321" s="115"/>
      <c r="BS321" s="115"/>
    </row>
    <row r="322" spans="38:71" ht="19.5" customHeight="1">
      <c r="AL322" s="143"/>
      <c r="AX322" s="542" t="s">
        <v>3506</v>
      </c>
      <c r="AY322" s="114"/>
      <c r="AZ322" s="545" t="s">
        <v>3507</v>
      </c>
      <c r="BA322" s="115"/>
      <c r="BB322" s="115"/>
      <c r="BC322" s="546" t="s">
        <v>3508</v>
      </c>
      <c r="BD322" s="547" t="s">
        <v>3509</v>
      </c>
      <c r="BE322" s="115"/>
      <c r="BF322" s="548" t="s">
        <v>3510</v>
      </c>
      <c r="BG322" s="546" t="s">
        <v>3511</v>
      </c>
      <c r="BH322" s="547" t="s">
        <v>3512</v>
      </c>
      <c r="BI322" s="115"/>
      <c r="BJ322" s="115"/>
      <c r="BK322" s="115"/>
      <c r="BL322" s="547" t="s">
        <v>3513</v>
      </c>
      <c r="BM322" s="547" t="s">
        <v>3514</v>
      </c>
      <c r="BN322" s="115"/>
      <c r="BO322" s="549" t="s">
        <v>3515</v>
      </c>
      <c r="BP322" s="115"/>
      <c r="BQ322" s="115"/>
      <c r="BR322" s="115"/>
      <c r="BS322" s="115"/>
    </row>
    <row r="323" spans="38:71" ht="19.5" customHeight="1">
      <c r="AL323" s="143"/>
      <c r="AX323" s="542" t="s">
        <v>3516</v>
      </c>
      <c r="AY323" s="114"/>
      <c r="AZ323" s="114"/>
      <c r="BA323" s="115"/>
      <c r="BB323" s="115"/>
      <c r="BC323" s="546" t="s">
        <v>3517</v>
      </c>
      <c r="BD323" s="547" t="s">
        <v>3518</v>
      </c>
      <c r="BE323" s="115"/>
      <c r="BF323" s="115"/>
      <c r="BG323" s="548" t="s">
        <v>3519</v>
      </c>
      <c r="BH323" s="547" t="s">
        <v>3520</v>
      </c>
      <c r="BI323" s="115"/>
      <c r="BJ323" s="115"/>
      <c r="BK323" s="115"/>
      <c r="BL323" s="547" t="s">
        <v>3521</v>
      </c>
      <c r="BM323" s="547" t="s">
        <v>3522</v>
      </c>
      <c r="BN323" s="115"/>
      <c r="BO323" s="115"/>
      <c r="BP323" s="115"/>
      <c r="BQ323" s="115"/>
      <c r="BR323" s="115"/>
      <c r="BS323" s="115"/>
    </row>
    <row r="324" spans="38:71" ht="19.5" customHeight="1">
      <c r="AL324" s="143"/>
      <c r="AX324" s="542" t="s">
        <v>3523</v>
      </c>
      <c r="AY324" s="114"/>
      <c r="AZ324" s="114"/>
      <c r="BA324" s="115"/>
      <c r="BB324" s="115"/>
      <c r="BC324" s="548" t="s">
        <v>3524</v>
      </c>
      <c r="BD324" s="547" t="s">
        <v>3525</v>
      </c>
      <c r="BE324" s="115"/>
      <c r="BF324" s="115"/>
      <c r="BG324" s="115"/>
      <c r="BH324" s="549" t="s">
        <v>3526</v>
      </c>
      <c r="BI324" s="115"/>
      <c r="BJ324" s="115"/>
      <c r="BK324" s="115"/>
      <c r="BL324" s="547" t="s">
        <v>3527</v>
      </c>
      <c r="BM324" s="547" t="s">
        <v>3528</v>
      </c>
      <c r="BN324" s="115"/>
      <c r="BO324" s="115"/>
      <c r="BP324" s="115"/>
      <c r="BQ324" s="115"/>
      <c r="BR324" s="115"/>
      <c r="BS324" s="115"/>
    </row>
    <row r="325" spans="38:71" ht="19.5" customHeight="1">
      <c r="AL325" s="143"/>
      <c r="AX325" s="542" t="s">
        <v>3529</v>
      </c>
      <c r="AY325" s="114"/>
      <c r="AZ325" s="114"/>
      <c r="BA325" s="115"/>
      <c r="BB325" s="115"/>
      <c r="BC325" s="115"/>
      <c r="BD325" s="547" t="s">
        <v>3530</v>
      </c>
      <c r="BE325" s="115"/>
      <c r="BF325" s="115"/>
      <c r="BG325" s="115"/>
      <c r="BH325" s="115"/>
      <c r="BI325" s="115"/>
      <c r="BJ325" s="115"/>
      <c r="BK325" s="115"/>
      <c r="BL325" s="549" t="s">
        <v>3531</v>
      </c>
      <c r="BM325" s="549" t="s">
        <v>3532</v>
      </c>
      <c r="BN325" s="115"/>
      <c r="BO325" s="115"/>
      <c r="BP325" s="115"/>
      <c r="BQ325" s="115"/>
      <c r="BR325" s="115"/>
      <c r="BS325" s="115"/>
    </row>
    <row r="326" spans="38:71" ht="19.5" customHeight="1">
      <c r="AL326" s="143"/>
      <c r="AX326" s="542" t="s">
        <v>3533</v>
      </c>
      <c r="AY326" s="114"/>
      <c r="AZ326" s="114"/>
      <c r="BA326" s="115"/>
      <c r="BB326" s="115"/>
      <c r="BC326" s="115"/>
      <c r="BD326" s="547" t="s">
        <v>3534</v>
      </c>
      <c r="BE326" s="115"/>
      <c r="BF326" s="115"/>
      <c r="BG326" s="115"/>
      <c r="BH326" s="115"/>
      <c r="BI326" s="115"/>
      <c r="BJ326" s="115"/>
      <c r="BK326" s="115"/>
      <c r="BL326" s="115"/>
      <c r="BM326" s="115"/>
      <c r="BN326" s="115"/>
      <c r="BO326" s="115"/>
      <c r="BP326" s="115"/>
      <c r="BQ326" s="115"/>
      <c r="BR326" s="115"/>
      <c r="BS326" s="115"/>
    </row>
    <row r="327" spans="38:71" ht="19.5" customHeight="1">
      <c r="AL327" s="143"/>
      <c r="AX327" s="542" t="s">
        <v>3535</v>
      </c>
      <c r="AY327" s="114"/>
      <c r="AZ327" s="114"/>
      <c r="BA327" s="115"/>
      <c r="BB327" s="115"/>
      <c r="BC327" s="115"/>
      <c r="BD327" s="547" t="s">
        <v>3536</v>
      </c>
      <c r="BE327" s="115"/>
      <c r="BF327" s="115"/>
      <c r="BG327" s="115"/>
      <c r="BH327" s="115"/>
      <c r="BI327" s="115"/>
      <c r="BJ327" s="115"/>
      <c r="BK327" s="115"/>
      <c r="BL327" s="115"/>
      <c r="BM327" s="115"/>
      <c r="BN327" s="115"/>
      <c r="BO327" s="115"/>
      <c r="BP327" s="115"/>
      <c r="BQ327" s="115"/>
      <c r="BR327" s="115"/>
      <c r="BS327" s="115"/>
    </row>
    <row r="328" spans="38:71" ht="19.5" customHeight="1">
      <c r="AL328" s="143"/>
      <c r="AX328" s="542" t="s">
        <v>3537</v>
      </c>
      <c r="AY328" s="114"/>
      <c r="AZ328" s="114"/>
      <c r="BA328" s="115"/>
      <c r="BB328" s="115"/>
      <c r="BC328" s="115"/>
      <c r="BD328" s="549" t="s">
        <v>3538</v>
      </c>
      <c r="BE328" s="115"/>
      <c r="BF328" s="115"/>
      <c r="BG328" s="115"/>
      <c r="BH328" s="115"/>
      <c r="BI328" s="115"/>
      <c r="BJ328" s="115"/>
      <c r="BK328" s="115"/>
      <c r="BL328" s="115"/>
      <c r="BM328" s="115"/>
      <c r="BN328" s="115"/>
      <c r="BO328" s="115"/>
      <c r="BP328" s="115"/>
      <c r="BQ328" s="115"/>
      <c r="BR328" s="115"/>
      <c r="BS328" s="115"/>
    </row>
    <row r="329" spans="38:71" ht="19.5" customHeight="1">
      <c r="AL329" s="143"/>
      <c r="AX329" s="542" t="s">
        <v>3539</v>
      </c>
      <c r="AY329" s="114"/>
      <c r="AZ329" s="114"/>
      <c r="BA329" s="115"/>
      <c r="BB329" s="115"/>
      <c r="BC329" s="115"/>
      <c r="BD329" s="115"/>
      <c r="BE329" s="115"/>
      <c r="BF329" s="115"/>
      <c r="BG329" s="115"/>
      <c r="BH329" s="115"/>
      <c r="BI329" s="115"/>
      <c r="BJ329" s="115"/>
      <c r="BK329" s="115"/>
      <c r="BL329" s="115"/>
      <c r="BM329" s="115"/>
      <c r="BN329" s="115"/>
      <c r="BO329" s="115"/>
      <c r="BP329" s="115"/>
      <c r="BQ329" s="115"/>
      <c r="BR329" s="115"/>
      <c r="BS329" s="115"/>
    </row>
    <row r="330" spans="38:71" ht="19.5" customHeight="1">
      <c r="AL330" s="143"/>
      <c r="AX330" s="542" t="s">
        <v>3540</v>
      </c>
      <c r="AY330" s="114"/>
      <c r="AZ330" s="114"/>
      <c r="BA330" s="115"/>
      <c r="BB330" s="115"/>
      <c r="BC330" s="115"/>
      <c r="BD330" s="115"/>
      <c r="BE330" s="115"/>
      <c r="BF330" s="115"/>
      <c r="BG330" s="115"/>
      <c r="BH330" s="115"/>
      <c r="BI330" s="115"/>
      <c r="BJ330" s="115"/>
      <c r="BK330" s="115"/>
      <c r="BL330" s="115"/>
      <c r="BM330" s="115"/>
      <c r="BN330" s="115"/>
      <c r="BO330" s="115"/>
      <c r="BP330" s="115"/>
      <c r="BQ330" s="115"/>
      <c r="BR330" s="115"/>
      <c r="BS330" s="115"/>
    </row>
    <row r="331" spans="38:71" ht="19.5" customHeight="1">
      <c r="AL331" s="143"/>
      <c r="AX331" s="542" t="s">
        <v>3541</v>
      </c>
      <c r="AY331" s="114"/>
      <c r="AZ331" s="114"/>
      <c r="BA331" s="115"/>
      <c r="BB331" s="115"/>
      <c r="BC331" s="115"/>
      <c r="BD331" s="115"/>
      <c r="BE331" s="115"/>
      <c r="BF331" s="115"/>
      <c r="BG331" s="115"/>
      <c r="BH331" s="115"/>
      <c r="BI331" s="115"/>
      <c r="BJ331" s="115"/>
      <c r="BK331" s="115"/>
      <c r="BL331" s="115"/>
      <c r="BM331" s="115"/>
      <c r="BN331" s="115"/>
      <c r="BO331" s="115"/>
      <c r="BP331" s="115"/>
      <c r="BQ331" s="115"/>
      <c r="BR331" s="115"/>
      <c r="BS331" s="115"/>
    </row>
    <row r="332" spans="38:71" ht="19.5" customHeight="1">
      <c r="AL332" s="143"/>
      <c r="AX332" s="542" t="s">
        <v>3542</v>
      </c>
      <c r="AY332" s="114"/>
      <c r="AZ332" s="114"/>
      <c r="BA332" s="115"/>
      <c r="BB332" s="115"/>
      <c r="BC332" s="115"/>
      <c r="BD332" s="115"/>
      <c r="BE332" s="115"/>
      <c r="BF332" s="115"/>
      <c r="BG332" s="115"/>
      <c r="BH332" s="115"/>
      <c r="BI332" s="115"/>
      <c r="BJ332" s="115"/>
      <c r="BK332" s="115"/>
      <c r="BL332" s="115"/>
      <c r="BM332" s="115"/>
      <c r="BN332" s="115"/>
      <c r="BO332" s="115"/>
      <c r="BP332" s="115"/>
      <c r="BQ332" s="115"/>
      <c r="BR332" s="115"/>
      <c r="BS332" s="115"/>
    </row>
    <row r="333" spans="38:71" ht="19.5" customHeight="1">
      <c r="AL333" s="143"/>
      <c r="AX333" s="542" t="s">
        <v>3543</v>
      </c>
      <c r="AY333" s="114"/>
      <c r="AZ333" s="114"/>
      <c r="BA333" s="115"/>
      <c r="BB333" s="115"/>
      <c r="BC333" s="115"/>
      <c r="BD333" s="115"/>
      <c r="BE333" s="115"/>
      <c r="BF333" s="115"/>
      <c r="BG333" s="115"/>
      <c r="BH333" s="115"/>
      <c r="BI333" s="115"/>
      <c r="BJ333" s="115"/>
      <c r="BK333" s="115"/>
      <c r="BL333" s="115"/>
      <c r="BM333" s="115"/>
      <c r="BN333" s="115"/>
      <c r="BO333" s="115"/>
      <c r="BP333" s="115"/>
      <c r="BQ333" s="115"/>
      <c r="BR333" s="115"/>
      <c r="BS333" s="115"/>
    </row>
    <row r="334" spans="38:71" ht="19.5" customHeight="1">
      <c r="AL334" s="143"/>
      <c r="AX334" s="542" t="s">
        <v>3544</v>
      </c>
      <c r="AY334" s="114"/>
      <c r="AZ334" s="114"/>
      <c r="BA334" s="115"/>
      <c r="BB334" s="115"/>
      <c r="BC334" s="115"/>
      <c r="BD334" s="115"/>
      <c r="BE334" s="115"/>
      <c r="BF334" s="115"/>
      <c r="BG334" s="115"/>
      <c r="BH334" s="115"/>
      <c r="BI334" s="115"/>
      <c r="BJ334" s="115"/>
      <c r="BK334" s="115"/>
      <c r="BL334" s="115"/>
      <c r="BM334" s="115"/>
      <c r="BN334" s="115"/>
      <c r="BO334" s="115"/>
      <c r="BP334" s="115"/>
      <c r="BQ334" s="115"/>
      <c r="BR334" s="115"/>
      <c r="BS334" s="115"/>
    </row>
    <row r="335" spans="38:71" ht="19.5" customHeight="1">
      <c r="AL335" s="143"/>
      <c r="AX335" s="542" t="s">
        <v>3545</v>
      </c>
      <c r="AY335" s="114"/>
      <c r="AZ335" s="114"/>
      <c r="BA335" s="115"/>
      <c r="BB335" s="115"/>
      <c r="BC335" s="115"/>
      <c r="BD335" s="115"/>
      <c r="BE335" s="115"/>
      <c r="BF335" s="115"/>
      <c r="BG335" s="115"/>
      <c r="BH335" s="115"/>
      <c r="BI335" s="115"/>
      <c r="BJ335" s="115"/>
      <c r="BK335" s="115"/>
      <c r="BL335" s="115"/>
      <c r="BM335" s="115"/>
      <c r="BN335" s="115"/>
      <c r="BO335" s="115"/>
      <c r="BP335" s="115"/>
      <c r="BQ335" s="115"/>
      <c r="BR335" s="115"/>
      <c r="BS335" s="115"/>
    </row>
    <row r="336" spans="38:71" ht="19.5" customHeight="1">
      <c r="AL336" s="143"/>
      <c r="AX336" s="545" t="s">
        <v>3546</v>
      </c>
      <c r="AY336" s="114"/>
      <c r="AZ336" s="114"/>
      <c r="BA336" s="115"/>
      <c r="BB336" s="115"/>
      <c r="BC336" s="115"/>
      <c r="BD336" s="115"/>
      <c r="BE336" s="115"/>
      <c r="BF336" s="115"/>
      <c r="BG336" s="115"/>
      <c r="BH336" s="115"/>
      <c r="BI336" s="115"/>
      <c r="BJ336" s="115"/>
      <c r="BK336" s="115"/>
      <c r="BL336" s="115"/>
      <c r="BM336" s="115"/>
      <c r="BN336" s="115"/>
      <c r="BO336" s="115"/>
      <c r="BP336" s="115"/>
      <c r="BQ336" s="115"/>
      <c r="BR336" s="115"/>
      <c r="BS336" s="115"/>
    </row>
    <row r="337" spans="38:50" ht="19.5" customHeight="1">
      <c r="AL337" s="143"/>
    </row>
    <row r="338" spans="38:50" ht="19.5" customHeight="1">
      <c r="AX338" s="114" t="s">
        <v>3661</v>
      </c>
    </row>
    <row r="339" spans="38:50" ht="19.5" customHeight="1">
      <c r="AX339" s="788" t="s">
        <v>2113</v>
      </c>
    </row>
    <row r="340" spans="38:50" ht="19.5" customHeight="1">
      <c r="AX340" s="542" t="s">
        <v>3662</v>
      </c>
    </row>
    <row r="341" spans="38:50" ht="19.5" customHeight="1">
      <c r="AX341" s="542" t="s">
        <v>3663</v>
      </c>
    </row>
    <row r="342" spans="38:50" ht="19.5" customHeight="1">
      <c r="AX342" s="542" t="s">
        <v>3664</v>
      </c>
    </row>
    <row r="343" spans="38:50" ht="19.5" customHeight="1">
      <c r="AX343" s="542" t="s">
        <v>3665</v>
      </c>
    </row>
    <row r="344" spans="38:50" ht="19.5" customHeight="1">
      <c r="AX344" s="542" t="s">
        <v>3666</v>
      </c>
    </row>
    <row r="345" spans="38:50" ht="19.5" customHeight="1">
      <c r="AX345" s="542" t="s">
        <v>3667</v>
      </c>
    </row>
    <row r="346" spans="38:50" ht="19.5" customHeight="1">
      <c r="AX346" s="542" t="s">
        <v>3668</v>
      </c>
    </row>
    <row r="347" spans="38:50" ht="19.5" customHeight="1">
      <c r="AX347" s="542" t="s">
        <v>3669</v>
      </c>
    </row>
    <row r="348" spans="38:50" ht="19.5" customHeight="1">
      <c r="AX348" s="542" t="s">
        <v>3670</v>
      </c>
    </row>
    <row r="349" spans="38:50" ht="19.5" customHeight="1">
      <c r="AX349" s="542" t="s">
        <v>3671</v>
      </c>
    </row>
    <row r="350" spans="38:50" ht="19.5" customHeight="1">
      <c r="AX350" s="542" t="s">
        <v>3672</v>
      </c>
    </row>
    <row r="351" spans="38:50" ht="19.5" customHeight="1">
      <c r="AX351" s="542" t="s">
        <v>3673</v>
      </c>
    </row>
    <row r="352" spans="38:50" ht="19.5" customHeight="1">
      <c r="AX352" s="542" t="s">
        <v>3674</v>
      </c>
    </row>
    <row r="353" spans="50:59" ht="19.5" customHeight="1">
      <c r="AX353" s="542" t="s">
        <v>3675</v>
      </c>
    </row>
    <row r="354" spans="50:59" ht="19.5" customHeight="1">
      <c r="AX354" s="542" t="s">
        <v>3676</v>
      </c>
    </row>
    <row r="355" spans="50:59" ht="19.5" customHeight="1">
      <c r="AX355" s="542" t="s">
        <v>3677</v>
      </c>
    </row>
    <row r="356" spans="50:59" ht="19.5" customHeight="1">
      <c r="AX356" s="542" t="s">
        <v>3678</v>
      </c>
    </row>
    <row r="357" spans="50:59" ht="19.5" customHeight="1">
      <c r="AX357" s="542" t="s">
        <v>3679</v>
      </c>
    </row>
    <row r="358" spans="50:59" ht="19.5" customHeight="1">
      <c r="AX358" s="542" t="s">
        <v>3680</v>
      </c>
    </row>
    <row r="359" spans="50:59" ht="19.5" customHeight="1">
      <c r="AX359" s="542" t="s">
        <v>3681</v>
      </c>
    </row>
    <row r="360" spans="50:59" ht="19.5" customHeight="1">
      <c r="AX360" s="542" t="s">
        <v>3682</v>
      </c>
    </row>
    <row r="361" spans="50:59" ht="19.5" customHeight="1">
      <c r="AX361" s="545" t="s">
        <v>3683</v>
      </c>
    </row>
    <row r="362" spans="50:59" ht="19.5" customHeight="1">
      <c r="AX362" s="114" t="s">
        <v>3684</v>
      </c>
      <c r="AY362" s="114" t="s">
        <v>3685</v>
      </c>
      <c r="AZ362" s="114" t="s">
        <v>3686</v>
      </c>
      <c r="BA362" s="114" t="s">
        <v>3687</v>
      </c>
      <c r="BB362" s="114" t="s">
        <v>3688</v>
      </c>
      <c r="BC362" s="114" t="s">
        <v>3689</v>
      </c>
      <c r="BD362" s="114" t="s">
        <v>3690</v>
      </c>
      <c r="BE362" s="114" t="s">
        <v>3691</v>
      </c>
      <c r="BF362" s="789"/>
      <c r="BG362" s="790"/>
    </row>
    <row r="363" spans="50:59" ht="19.5" customHeight="1">
      <c r="AX363" s="114" t="s">
        <v>3692</v>
      </c>
      <c r="AY363" s="114"/>
      <c r="AZ363" s="114"/>
      <c r="BA363" s="115"/>
      <c r="BB363" s="115"/>
      <c r="BC363" s="115"/>
      <c r="BD363" s="115"/>
      <c r="BE363" s="115"/>
      <c r="BF363" s="789"/>
      <c r="BG363" s="790"/>
    </row>
    <row r="364" spans="50:59" ht="19.5" customHeight="1">
      <c r="AX364" s="791" t="s">
        <v>2072</v>
      </c>
      <c r="AY364" s="791" t="s">
        <v>2283</v>
      </c>
      <c r="AZ364" s="791" t="s">
        <v>3693</v>
      </c>
      <c r="BA364" s="792" t="s">
        <v>3694</v>
      </c>
      <c r="BB364" s="793" t="s">
        <v>3695</v>
      </c>
      <c r="BC364" s="792" t="s">
        <v>3696</v>
      </c>
      <c r="BD364" s="793" t="s">
        <v>3697</v>
      </c>
      <c r="BE364" s="794" t="s">
        <v>3698</v>
      </c>
      <c r="BF364" s="795" t="s">
        <v>3699</v>
      </c>
      <c r="BG364" s="790"/>
    </row>
    <row r="365" spans="50:59" ht="19.5" customHeight="1">
      <c r="AX365" s="796" t="s">
        <v>3660</v>
      </c>
      <c r="AY365" s="788" t="s">
        <v>3660</v>
      </c>
      <c r="AZ365" s="788" t="s">
        <v>3660</v>
      </c>
      <c r="BA365" s="792" t="s">
        <v>3660</v>
      </c>
      <c r="BB365" s="797" t="s">
        <v>3660</v>
      </c>
      <c r="BC365" s="792" t="s">
        <v>3660</v>
      </c>
      <c r="BD365" s="792" t="s">
        <v>3660</v>
      </c>
      <c r="BE365" s="794" t="s">
        <v>3660</v>
      </c>
      <c r="BF365" s="798" t="s">
        <v>3700</v>
      </c>
      <c r="BG365" s="790"/>
    </row>
    <row r="366" spans="50:59" ht="19.5" customHeight="1">
      <c r="AX366" s="799" t="s">
        <v>3420</v>
      </c>
      <c r="AY366" s="800" t="s">
        <v>3701</v>
      </c>
      <c r="AZ366" s="800" t="s">
        <v>3702</v>
      </c>
      <c r="BA366" s="800" t="s">
        <v>3703</v>
      </c>
      <c r="BB366" s="789" t="s">
        <v>3704</v>
      </c>
      <c r="BC366" s="799" t="s">
        <v>3705</v>
      </c>
      <c r="BD366" s="800" t="s">
        <v>3706</v>
      </c>
      <c r="BE366" s="789"/>
      <c r="BF366" s="800" t="s">
        <v>3627</v>
      </c>
      <c r="BG366" s="789" t="s">
        <v>3707</v>
      </c>
    </row>
    <row r="367" spans="50:59" ht="19.5" customHeight="1">
      <c r="AX367" s="799" t="s">
        <v>3708</v>
      </c>
      <c r="AY367" s="800" t="s">
        <v>3709</v>
      </c>
      <c r="AZ367" s="800" t="s">
        <v>3710</v>
      </c>
      <c r="BA367" s="800" t="s">
        <v>3711</v>
      </c>
      <c r="BB367" s="789" t="s">
        <v>3712</v>
      </c>
      <c r="BC367" s="799" t="s">
        <v>3713</v>
      </c>
      <c r="BD367" s="801" t="s">
        <v>3714</v>
      </c>
      <c r="BE367" s="789"/>
      <c r="BF367" s="800" t="s">
        <v>3715</v>
      </c>
      <c r="BG367" s="789" t="s">
        <v>3716</v>
      </c>
    </row>
    <row r="368" spans="50:59" ht="19.5" customHeight="1">
      <c r="AX368" s="799" t="s">
        <v>3717</v>
      </c>
      <c r="AY368" s="800" t="s">
        <v>3718</v>
      </c>
      <c r="AZ368" s="800" t="s">
        <v>3719</v>
      </c>
      <c r="BA368" s="800" t="s">
        <v>3720</v>
      </c>
      <c r="BB368" s="802" t="s">
        <v>3721</v>
      </c>
      <c r="BC368" s="800" t="s">
        <v>3722</v>
      </c>
      <c r="BD368" s="789"/>
      <c r="BE368" s="789"/>
      <c r="BF368" s="800" t="s">
        <v>3628</v>
      </c>
      <c r="BG368" s="789" t="s">
        <v>3723</v>
      </c>
    </row>
    <row r="369" spans="50:59" ht="19.5" customHeight="1">
      <c r="AX369" s="799" t="s">
        <v>3724</v>
      </c>
      <c r="AY369" s="800" t="s">
        <v>3725</v>
      </c>
      <c r="AZ369" s="800" t="s">
        <v>3726</v>
      </c>
      <c r="BA369" s="801" t="s">
        <v>3727</v>
      </c>
      <c r="BB369" s="789"/>
      <c r="BC369" s="800" t="s">
        <v>3728</v>
      </c>
      <c r="BD369" s="789"/>
      <c r="BE369" s="789"/>
      <c r="BF369" s="800" t="s">
        <v>3633</v>
      </c>
      <c r="BG369" s="789" t="s">
        <v>3729</v>
      </c>
    </row>
    <row r="370" spans="50:59" ht="19.5" customHeight="1">
      <c r="AX370" s="799" t="s">
        <v>3730</v>
      </c>
      <c r="AY370" s="800" t="s">
        <v>3731</v>
      </c>
      <c r="AZ370" s="800" t="s">
        <v>3732</v>
      </c>
      <c r="BA370" s="789"/>
      <c r="BB370" s="789"/>
      <c r="BC370" s="800" t="s">
        <v>3733</v>
      </c>
      <c r="BD370" s="789"/>
      <c r="BE370" s="789"/>
      <c r="BF370" s="800" t="s">
        <v>3632</v>
      </c>
      <c r="BG370" s="789" t="s">
        <v>3734</v>
      </c>
    </row>
    <row r="371" spans="50:59" ht="19.5" customHeight="1">
      <c r="AX371" s="803" t="s">
        <v>3735</v>
      </c>
      <c r="AY371" s="800" t="s">
        <v>3736</v>
      </c>
      <c r="AZ371" s="801" t="s">
        <v>3737</v>
      </c>
      <c r="BA371" s="789"/>
      <c r="BB371" s="789"/>
      <c r="BC371" s="800" t="s">
        <v>3738</v>
      </c>
      <c r="BD371" s="789"/>
      <c r="BE371" s="789"/>
      <c r="BF371" s="801" t="s">
        <v>3626</v>
      </c>
      <c r="BG371" s="789" t="s">
        <v>3739</v>
      </c>
    </row>
    <row r="372" spans="50:59" ht="19.5" customHeight="1">
      <c r="AX372" s="789"/>
      <c r="AY372" s="800" t="s">
        <v>3740</v>
      </c>
      <c r="AZ372" s="789"/>
      <c r="BA372" s="789"/>
      <c r="BB372" s="789"/>
      <c r="BC372" s="800" t="s">
        <v>3741</v>
      </c>
      <c r="BD372" s="789"/>
      <c r="BE372" s="789"/>
      <c r="BF372" s="789"/>
      <c r="BG372" s="790"/>
    </row>
    <row r="373" spans="50:59" ht="19.5" customHeight="1">
      <c r="AX373" s="789"/>
      <c r="AY373" s="800" t="s">
        <v>3742</v>
      </c>
      <c r="AZ373" s="789"/>
      <c r="BA373" s="789"/>
      <c r="BB373" s="789"/>
      <c r="BC373" s="801" t="s">
        <v>3743</v>
      </c>
      <c r="BD373" s="789"/>
      <c r="BE373" s="789"/>
      <c r="BF373" s="789"/>
      <c r="BG373" s="790"/>
    </row>
    <row r="374" spans="50:59" ht="19.5" customHeight="1">
      <c r="AX374" s="789"/>
      <c r="AY374" s="800" t="s">
        <v>3744</v>
      </c>
      <c r="AZ374" s="789"/>
      <c r="BA374" s="789"/>
      <c r="BB374" s="789"/>
      <c r="BC374" s="789"/>
      <c r="BD374" s="789"/>
      <c r="BE374" s="789"/>
      <c r="BF374" s="789"/>
      <c r="BG374" s="790"/>
    </row>
    <row r="375" spans="50:59" ht="19.5" customHeight="1">
      <c r="AX375" s="789"/>
      <c r="AY375" s="800" t="s">
        <v>3745</v>
      </c>
      <c r="AZ375" s="789"/>
      <c r="BA375" s="789"/>
      <c r="BB375" s="789"/>
      <c r="BC375" s="789"/>
      <c r="BD375" s="789"/>
      <c r="BE375" s="789"/>
      <c r="BF375" s="789"/>
      <c r="BG375" s="790"/>
    </row>
    <row r="376" spans="50:59" ht="19.5" customHeight="1">
      <c r="AX376" s="789"/>
      <c r="AY376" s="800" t="s">
        <v>3746</v>
      </c>
      <c r="AZ376" s="789"/>
      <c r="BA376" s="789"/>
      <c r="BB376" s="789"/>
      <c r="BC376" s="789"/>
      <c r="BD376" s="789"/>
      <c r="BE376" s="789"/>
      <c r="BF376" s="789"/>
      <c r="BG376" s="790"/>
    </row>
    <row r="377" spans="50:59" ht="19.5" customHeight="1">
      <c r="AX377" s="789"/>
      <c r="AY377" s="800" t="s">
        <v>3747</v>
      </c>
      <c r="AZ377" s="789"/>
      <c r="BA377" s="789"/>
      <c r="BB377" s="789"/>
      <c r="BC377" s="789"/>
      <c r="BD377" s="789"/>
      <c r="BE377" s="789"/>
      <c r="BF377" s="789"/>
      <c r="BG377" s="790"/>
    </row>
    <row r="378" spans="50:59" ht="19.5" customHeight="1">
      <c r="AX378" s="789"/>
      <c r="AY378" s="800" t="s">
        <v>3748</v>
      </c>
      <c r="AZ378" s="789"/>
      <c r="BA378" s="789"/>
      <c r="BB378" s="789"/>
      <c r="BC378" s="789"/>
      <c r="BD378" s="789"/>
      <c r="BE378" s="789"/>
      <c r="BF378" s="789"/>
      <c r="BG378" s="790"/>
    </row>
    <row r="379" spans="50:59" ht="19.5" customHeight="1">
      <c r="AX379" s="789"/>
      <c r="AY379" s="800" t="s">
        <v>3749</v>
      </c>
      <c r="AZ379" s="789"/>
      <c r="BA379" s="789"/>
      <c r="BB379" s="789"/>
      <c r="BC379" s="789"/>
      <c r="BD379" s="789"/>
      <c r="BE379" s="789"/>
      <c r="BF379" s="789"/>
      <c r="BG379" s="790"/>
    </row>
    <row r="380" spans="50:59" ht="19.5" customHeight="1">
      <c r="AX380" s="789"/>
      <c r="AY380" s="800" t="s">
        <v>3750</v>
      </c>
      <c r="AZ380" s="789"/>
      <c r="BA380" s="789"/>
      <c r="BB380" s="789"/>
      <c r="BC380" s="789"/>
      <c r="BD380" s="789"/>
      <c r="BE380" s="789"/>
      <c r="BF380" s="789"/>
      <c r="BG380" s="790"/>
    </row>
    <row r="381" spans="50:59" ht="19.5" customHeight="1">
      <c r="AX381" s="789"/>
      <c r="AY381" s="800" t="s">
        <v>3751</v>
      </c>
      <c r="AZ381" s="789"/>
      <c r="BA381" s="789"/>
      <c r="BB381" s="789"/>
      <c r="BC381" s="789"/>
      <c r="BD381" s="789"/>
      <c r="BE381" s="789"/>
      <c r="BF381" s="789"/>
      <c r="BG381" s="790"/>
    </row>
    <row r="382" spans="50:59" ht="19.5" customHeight="1">
      <c r="AX382" s="789"/>
      <c r="AY382" s="800" t="s">
        <v>3752</v>
      </c>
      <c r="AZ382" s="789"/>
      <c r="BA382" s="789"/>
      <c r="BB382" s="789"/>
      <c r="BC382" s="789"/>
      <c r="BD382" s="789"/>
      <c r="BE382" s="789"/>
      <c r="BF382" s="789"/>
      <c r="BG382" s="790"/>
    </row>
    <row r="383" spans="50:59" ht="19.5" customHeight="1">
      <c r="AX383" s="789"/>
      <c r="AY383" s="800" t="s">
        <v>3753</v>
      </c>
      <c r="AZ383" s="789"/>
      <c r="BA383" s="789"/>
      <c r="BB383" s="789"/>
      <c r="BC383" s="789"/>
      <c r="BD383" s="789"/>
      <c r="BE383" s="789"/>
      <c r="BF383" s="789"/>
      <c r="BG383" s="790"/>
    </row>
    <row r="384" spans="50:59" ht="19.5" customHeight="1">
      <c r="AX384" s="789"/>
      <c r="AY384" s="800" t="s">
        <v>3754</v>
      </c>
      <c r="AZ384" s="789"/>
      <c r="BA384" s="789"/>
      <c r="BB384" s="789"/>
      <c r="BC384" s="789"/>
      <c r="BD384" s="789"/>
      <c r="BE384" s="789"/>
      <c r="BF384" s="789"/>
      <c r="BG384" s="790"/>
    </row>
    <row r="385" spans="50:68" ht="19.5" customHeight="1">
      <c r="AX385" s="789"/>
      <c r="AY385" s="800" t="s">
        <v>3755</v>
      </c>
      <c r="AZ385" s="789"/>
      <c r="BA385" s="789"/>
      <c r="BB385" s="789"/>
      <c r="BC385" s="789"/>
      <c r="BD385" s="789"/>
      <c r="BE385" s="789"/>
      <c r="BF385" s="789"/>
      <c r="BG385" s="790"/>
    </row>
    <row r="386" spans="50:68" ht="19.5" customHeight="1">
      <c r="AX386" s="789"/>
      <c r="AY386" s="800" t="s">
        <v>3756</v>
      </c>
      <c r="AZ386" s="789"/>
      <c r="BA386" s="789"/>
      <c r="BB386" s="789"/>
      <c r="BC386" s="789"/>
      <c r="BD386" s="789"/>
      <c r="BE386" s="789"/>
      <c r="BF386" s="789"/>
      <c r="BG386" s="790"/>
    </row>
    <row r="387" spans="50:68" ht="19.5" customHeight="1">
      <c r="AX387" s="789"/>
      <c r="AY387" s="800" t="s">
        <v>3757</v>
      </c>
      <c r="AZ387" s="789"/>
      <c r="BA387" s="789"/>
      <c r="BB387" s="789"/>
      <c r="BC387" s="789"/>
      <c r="BD387" s="789"/>
      <c r="BE387" s="789"/>
      <c r="BF387" s="789"/>
      <c r="BG387" s="790"/>
    </row>
    <row r="388" spans="50:68" ht="19.5" customHeight="1">
      <c r="AX388" s="789"/>
      <c r="AY388" s="800" t="s">
        <v>3758</v>
      </c>
      <c r="AZ388" s="789"/>
      <c r="BA388" s="789"/>
      <c r="BB388" s="789"/>
      <c r="BC388" s="789"/>
      <c r="BD388" s="789"/>
      <c r="BE388" s="789"/>
      <c r="BF388" s="789"/>
      <c r="BG388" s="790"/>
    </row>
    <row r="389" spans="50:68" ht="19.5" customHeight="1">
      <c r="AX389" s="789"/>
      <c r="AY389" s="800" t="s">
        <v>3759</v>
      </c>
      <c r="AZ389" s="789"/>
      <c r="BA389" s="789"/>
      <c r="BB389" s="789"/>
      <c r="BC389" s="789"/>
      <c r="BD389" s="789"/>
      <c r="BE389" s="789"/>
      <c r="BF389" s="789"/>
      <c r="BG389" s="790"/>
    </row>
    <row r="390" spans="50:68" ht="19.5" customHeight="1">
      <c r="AX390" s="789"/>
      <c r="AY390" s="801" t="s">
        <v>3760</v>
      </c>
      <c r="AZ390" s="789"/>
      <c r="BA390" s="789"/>
      <c r="BB390" s="789"/>
      <c r="BC390" s="789"/>
      <c r="BD390" s="789"/>
      <c r="BE390" s="789"/>
      <c r="BF390" s="789"/>
      <c r="BG390" s="790"/>
    </row>
    <row r="391" spans="50:68" ht="19.5" customHeight="1">
      <c r="AX391" s="114" t="s">
        <v>4841</v>
      </c>
      <c r="AY391" s="114" t="s">
        <v>4842</v>
      </c>
      <c r="AZ391" s="114" t="s">
        <v>4843</v>
      </c>
      <c r="BA391" s="114" t="s">
        <v>4844</v>
      </c>
      <c r="BB391" s="114" t="s">
        <v>4845</v>
      </c>
      <c r="BC391" s="114" t="s">
        <v>4846</v>
      </c>
      <c r="BD391" s="114" t="s">
        <v>4436</v>
      </c>
      <c r="BE391" s="114" t="s">
        <v>4847</v>
      </c>
      <c r="BF391" s="114" t="s">
        <v>4437</v>
      </c>
      <c r="BG391" s="114" t="s">
        <v>4848</v>
      </c>
      <c r="BH391" s="114" t="s">
        <v>4849</v>
      </c>
      <c r="BI391" s="114" t="s">
        <v>4850</v>
      </c>
      <c r="BJ391" s="114" t="s">
        <v>4851</v>
      </c>
      <c r="BK391" s="114" t="s">
        <v>4852</v>
      </c>
      <c r="BL391" s="114" t="s">
        <v>4853</v>
      </c>
      <c r="BM391" s="114" t="s">
        <v>4854</v>
      </c>
      <c r="BN391" s="114" t="s">
        <v>4855</v>
      </c>
      <c r="BO391" s="114" t="s">
        <v>4856</v>
      </c>
      <c r="BP391" s="114" t="s">
        <v>4857</v>
      </c>
    </row>
    <row r="392" spans="50:68" ht="19.5" customHeight="1">
      <c r="AX392" s="114" t="s">
        <v>4438</v>
      </c>
      <c r="AY392" s="114"/>
      <c r="AZ392" s="114"/>
      <c r="BA392" s="115"/>
      <c r="BB392" s="115"/>
      <c r="BC392" s="115"/>
      <c r="BD392" s="115"/>
      <c r="BE392" s="115"/>
      <c r="BF392" s="115"/>
      <c r="BG392" s="115"/>
      <c r="BH392" s="115"/>
      <c r="BI392" s="115"/>
      <c r="BJ392" s="115"/>
      <c r="BK392" s="115"/>
      <c r="BL392" s="115"/>
      <c r="BM392" s="115"/>
      <c r="BN392" s="115"/>
      <c r="BO392" s="115"/>
      <c r="BP392" s="115"/>
    </row>
    <row r="393" spans="50:68" ht="19.5" customHeight="1">
      <c r="AX393" s="791" t="s">
        <v>4439</v>
      </c>
      <c r="AY393" s="791" t="s">
        <v>2283</v>
      </c>
      <c r="AZ393" s="791" t="s">
        <v>4440</v>
      </c>
      <c r="BA393" s="793" t="s">
        <v>4441</v>
      </c>
      <c r="BB393" s="793" t="s">
        <v>4442</v>
      </c>
      <c r="BC393" s="793" t="s">
        <v>4443</v>
      </c>
      <c r="BD393" s="793" t="s">
        <v>4444</v>
      </c>
      <c r="BE393" s="793" t="s">
        <v>4445</v>
      </c>
      <c r="BF393" s="793" t="s">
        <v>4446</v>
      </c>
      <c r="BG393" s="793" t="s">
        <v>4447</v>
      </c>
      <c r="BH393" s="793" t="s">
        <v>4448</v>
      </c>
      <c r="BI393" s="793" t="s">
        <v>4449</v>
      </c>
      <c r="BJ393" s="793" t="s">
        <v>4450</v>
      </c>
      <c r="BK393" s="793" t="s">
        <v>3413</v>
      </c>
      <c r="BL393" s="793" t="s">
        <v>4451</v>
      </c>
      <c r="BM393" s="793" t="s">
        <v>4452</v>
      </c>
      <c r="BN393" s="793" t="s">
        <v>4453</v>
      </c>
      <c r="BO393" s="793" t="s">
        <v>4454</v>
      </c>
      <c r="BP393" s="793" t="s">
        <v>1891</v>
      </c>
    </row>
    <row r="394" spans="50:68" ht="19.5" customHeight="1">
      <c r="AX394" s="788" t="s">
        <v>3660</v>
      </c>
      <c r="AY394" s="788" t="s">
        <v>3660</v>
      </c>
      <c r="AZ394" s="796" t="s">
        <v>3660</v>
      </c>
      <c r="BA394" s="788" t="s">
        <v>3660</v>
      </c>
      <c r="BB394" s="788" t="s">
        <v>3660</v>
      </c>
      <c r="BC394" s="796" t="s">
        <v>3660</v>
      </c>
      <c r="BD394" s="788" t="s">
        <v>3660</v>
      </c>
      <c r="BE394" s="788" t="s">
        <v>3660</v>
      </c>
      <c r="BF394" s="796" t="s">
        <v>3660</v>
      </c>
      <c r="BG394" s="788" t="s">
        <v>3660</v>
      </c>
      <c r="BH394" s="788" t="s">
        <v>3660</v>
      </c>
      <c r="BI394" s="788" t="s">
        <v>3660</v>
      </c>
      <c r="BJ394" s="796" t="s">
        <v>3660</v>
      </c>
      <c r="BK394" s="796" t="s">
        <v>3660</v>
      </c>
      <c r="BL394" s="788" t="s">
        <v>3660</v>
      </c>
      <c r="BM394" s="788" t="s">
        <v>3660</v>
      </c>
      <c r="BN394" s="796" t="s">
        <v>3660</v>
      </c>
      <c r="BO394" s="788" t="s">
        <v>3660</v>
      </c>
      <c r="BP394" s="791" t="s">
        <v>3660</v>
      </c>
    </row>
    <row r="395" spans="50:68" ht="19.5" customHeight="1">
      <c r="AX395" s="542" t="s">
        <v>3420</v>
      </c>
      <c r="AY395" s="542" t="s">
        <v>4455</v>
      </c>
      <c r="AZ395" s="544" t="s">
        <v>4456</v>
      </c>
      <c r="BA395" s="547" t="s">
        <v>4457</v>
      </c>
      <c r="BB395" s="547" t="s">
        <v>4458</v>
      </c>
      <c r="BC395" s="546" t="s">
        <v>4459</v>
      </c>
      <c r="BD395" s="547" t="s">
        <v>4460</v>
      </c>
      <c r="BE395" s="547" t="s">
        <v>4461</v>
      </c>
      <c r="BF395" s="546" t="s">
        <v>4462</v>
      </c>
      <c r="BG395" s="547" t="s">
        <v>4463</v>
      </c>
      <c r="BH395" s="547" t="s">
        <v>4464</v>
      </c>
      <c r="BI395" s="547" t="s">
        <v>4465</v>
      </c>
      <c r="BJ395" s="546" t="s">
        <v>4466</v>
      </c>
      <c r="BK395" s="546" t="s">
        <v>4467</v>
      </c>
      <c r="BL395" s="547" t="s">
        <v>4468</v>
      </c>
      <c r="BM395" s="547" t="s">
        <v>4469</v>
      </c>
      <c r="BN395" s="546" t="s">
        <v>4470</v>
      </c>
      <c r="BO395" s="547" t="s">
        <v>4471</v>
      </c>
      <c r="BP395" s="115"/>
    </row>
    <row r="396" spans="50:68" ht="19.5" customHeight="1">
      <c r="AX396" s="542" t="s">
        <v>4472</v>
      </c>
      <c r="AY396" s="542" t="s">
        <v>4473</v>
      </c>
      <c r="AZ396" s="637" t="s">
        <v>4474</v>
      </c>
      <c r="BA396" s="547" t="s">
        <v>4475</v>
      </c>
      <c r="BB396" s="547" t="s">
        <v>4476</v>
      </c>
      <c r="BC396" s="548" t="s">
        <v>4477</v>
      </c>
      <c r="BD396" s="547" t="s">
        <v>4478</v>
      </c>
      <c r="BE396" s="547" t="s">
        <v>4479</v>
      </c>
      <c r="BF396" s="546" t="s">
        <v>4480</v>
      </c>
      <c r="BG396" s="547" t="s">
        <v>4481</v>
      </c>
      <c r="BH396" s="547" t="s">
        <v>4482</v>
      </c>
      <c r="BI396" s="547" t="s">
        <v>4483</v>
      </c>
      <c r="BJ396" s="546" t="s">
        <v>4484</v>
      </c>
      <c r="BK396" s="546" t="s">
        <v>4485</v>
      </c>
      <c r="BL396" s="547" t="s">
        <v>4486</v>
      </c>
      <c r="BM396" s="547" t="s">
        <v>4487</v>
      </c>
      <c r="BN396" s="546" t="s">
        <v>4488</v>
      </c>
      <c r="BO396" s="547" t="s">
        <v>4489</v>
      </c>
      <c r="BP396" s="115"/>
    </row>
    <row r="397" spans="50:68" ht="19.5" customHeight="1">
      <c r="AX397" s="542" t="s">
        <v>4490</v>
      </c>
      <c r="AY397" s="545" t="s">
        <v>4491</v>
      </c>
      <c r="AZ397" s="114"/>
      <c r="BA397" s="547" t="s">
        <v>4492</v>
      </c>
      <c r="BB397" s="547" t="s">
        <v>4493</v>
      </c>
      <c r="BC397" s="115"/>
      <c r="BD397" s="547" t="s">
        <v>4494</v>
      </c>
      <c r="BE397" s="547" t="s">
        <v>4495</v>
      </c>
      <c r="BF397" s="548" t="s">
        <v>4496</v>
      </c>
      <c r="BG397" s="547" t="s">
        <v>4497</v>
      </c>
      <c r="BH397" s="547" t="s">
        <v>4498</v>
      </c>
      <c r="BI397" s="547" t="s">
        <v>4499</v>
      </c>
      <c r="BJ397" s="546" t="s">
        <v>4500</v>
      </c>
      <c r="BK397" s="546" t="s">
        <v>4501</v>
      </c>
      <c r="BL397" s="547" t="s">
        <v>4502</v>
      </c>
      <c r="BM397" s="547" t="s">
        <v>4503</v>
      </c>
      <c r="BN397" s="546" t="s">
        <v>4504</v>
      </c>
      <c r="BO397" s="547" t="s">
        <v>4505</v>
      </c>
      <c r="BP397" s="115"/>
    </row>
    <row r="398" spans="50:68" ht="19.5" customHeight="1">
      <c r="AX398" s="542" t="s">
        <v>4506</v>
      </c>
      <c r="AY398" s="114"/>
      <c r="AZ398" s="114"/>
      <c r="BA398" s="547" t="s">
        <v>4507</v>
      </c>
      <c r="BB398" s="547" t="s">
        <v>4508</v>
      </c>
      <c r="BC398" s="115"/>
      <c r="BD398" s="547" t="s">
        <v>4509</v>
      </c>
      <c r="BE398" s="547" t="s">
        <v>4510</v>
      </c>
      <c r="BF398" s="115"/>
      <c r="BG398" s="547" t="s">
        <v>4511</v>
      </c>
      <c r="BH398" s="547" t="s">
        <v>4512</v>
      </c>
      <c r="BI398" s="547" t="s">
        <v>4513</v>
      </c>
      <c r="BJ398" s="548" t="s">
        <v>4514</v>
      </c>
      <c r="BK398" s="546" t="s">
        <v>4515</v>
      </c>
      <c r="BL398" s="547" t="s">
        <v>4516</v>
      </c>
      <c r="BM398" s="547" t="s">
        <v>4517</v>
      </c>
      <c r="BN398" s="548" t="s">
        <v>4518</v>
      </c>
      <c r="BO398" s="547" t="s">
        <v>4519</v>
      </c>
      <c r="BP398" s="115"/>
    </row>
    <row r="399" spans="50:68" ht="19.5" customHeight="1">
      <c r="AX399" s="542" t="s">
        <v>4520</v>
      </c>
      <c r="AY399" s="114"/>
      <c r="AZ399" s="114"/>
      <c r="BA399" s="547" t="s">
        <v>4521</v>
      </c>
      <c r="BB399" s="549" t="s">
        <v>4522</v>
      </c>
      <c r="BC399" s="115"/>
      <c r="BD399" s="547" t="s">
        <v>4523</v>
      </c>
      <c r="BE399" s="547" t="s">
        <v>4524</v>
      </c>
      <c r="BF399" s="115"/>
      <c r="BG399" s="547" t="s">
        <v>4525</v>
      </c>
      <c r="BH399" s="547" t="s">
        <v>4526</v>
      </c>
      <c r="BI399" s="549" t="s">
        <v>4527</v>
      </c>
      <c r="BJ399" s="115"/>
      <c r="BK399" s="546" t="s">
        <v>4528</v>
      </c>
      <c r="BL399" s="547" t="s">
        <v>4529</v>
      </c>
      <c r="BM399" s="547" t="s">
        <v>4530</v>
      </c>
      <c r="BN399" s="115"/>
      <c r="BO399" s="547" t="s">
        <v>4531</v>
      </c>
      <c r="BP399" s="115"/>
    </row>
    <row r="400" spans="50:68" ht="19.5" customHeight="1">
      <c r="AX400" s="542" t="s">
        <v>4532</v>
      </c>
      <c r="AY400" s="114"/>
      <c r="AZ400" s="114"/>
      <c r="BA400" s="547" t="s">
        <v>4533</v>
      </c>
      <c r="BB400" s="115"/>
      <c r="BC400" s="115"/>
      <c r="BD400" s="547" t="s">
        <v>4534</v>
      </c>
      <c r="BE400" s="547" t="s">
        <v>4535</v>
      </c>
      <c r="BF400" s="115"/>
      <c r="BG400" s="547" t="s">
        <v>4536</v>
      </c>
      <c r="BH400" s="547" t="s">
        <v>4537</v>
      </c>
      <c r="BI400" s="115"/>
      <c r="BJ400" s="115"/>
      <c r="BK400" s="548" t="s">
        <v>4538</v>
      </c>
      <c r="BL400" s="547" t="s">
        <v>4539</v>
      </c>
      <c r="BM400" s="549" t="s">
        <v>4540</v>
      </c>
      <c r="BN400" s="115"/>
      <c r="BO400" s="549" t="s">
        <v>4541</v>
      </c>
      <c r="BP400" s="115"/>
    </row>
    <row r="401" spans="50:68" ht="19.5" customHeight="1">
      <c r="AX401" s="542" t="s">
        <v>4542</v>
      </c>
      <c r="AY401" s="114"/>
      <c r="AZ401" s="114"/>
      <c r="BA401" s="547" t="s">
        <v>4543</v>
      </c>
      <c r="BB401" s="115"/>
      <c r="BC401" s="115"/>
      <c r="BD401" s="547" t="s">
        <v>4544</v>
      </c>
      <c r="BE401" s="549" t="s">
        <v>4545</v>
      </c>
      <c r="BF401" s="115"/>
      <c r="BG401" s="547" t="s">
        <v>4546</v>
      </c>
      <c r="BH401" s="547" t="s">
        <v>4547</v>
      </c>
      <c r="BI401" s="115"/>
      <c r="BJ401" s="115"/>
      <c r="BK401" s="115"/>
      <c r="BL401" s="547" t="s">
        <v>4548</v>
      </c>
      <c r="BM401" s="115"/>
      <c r="BN401" s="115"/>
      <c r="BO401" s="115"/>
      <c r="BP401" s="115"/>
    </row>
    <row r="402" spans="50:68" ht="19.5" customHeight="1">
      <c r="AX402" s="542" t="s">
        <v>4549</v>
      </c>
      <c r="AY402" s="114"/>
      <c r="AZ402" s="114"/>
      <c r="BA402" s="547" t="s">
        <v>4550</v>
      </c>
      <c r="BB402" s="115"/>
      <c r="BC402" s="115"/>
      <c r="BD402" s="549" t="s">
        <v>4551</v>
      </c>
      <c r="BE402" s="115"/>
      <c r="BF402" s="115"/>
      <c r="BG402" s="547" t="s">
        <v>4552</v>
      </c>
      <c r="BH402" s="547" t="s">
        <v>4553</v>
      </c>
      <c r="BI402" s="115"/>
      <c r="BJ402" s="115"/>
      <c r="BK402" s="115"/>
      <c r="BL402" s="547" t="s">
        <v>4554</v>
      </c>
      <c r="BM402" s="115"/>
      <c r="BN402" s="115"/>
      <c r="BO402" s="115"/>
      <c r="BP402" s="115"/>
    </row>
    <row r="403" spans="50:68" ht="19.5" customHeight="1">
      <c r="AX403" s="542" t="s">
        <v>4555</v>
      </c>
      <c r="AY403" s="114"/>
      <c r="AZ403" s="114"/>
      <c r="BA403" s="547" t="s">
        <v>4556</v>
      </c>
      <c r="BB403" s="115"/>
      <c r="BC403" s="115"/>
      <c r="BD403" s="115"/>
      <c r="BE403" s="115"/>
      <c r="BF403" s="115"/>
      <c r="BG403" s="547" t="s">
        <v>4557</v>
      </c>
      <c r="BH403" s="547" t="s">
        <v>4558</v>
      </c>
      <c r="BI403" s="115"/>
      <c r="BJ403" s="115"/>
      <c r="BK403" s="115"/>
      <c r="BL403" s="549" t="s">
        <v>4559</v>
      </c>
      <c r="BM403" s="115"/>
      <c r="BN403" s="115"/>
      <c r="BO403" s="115"/>
      <c r="BP403" s="115"/>
    </row>
    <row r="404" spans="50:68" ht="19.5" customHeight="1">
      <c r="AX404" s="542" t="s">
        <v>4560</v>
      </c>
      <c r="AY404" s="114"/>
      <c r="AZ404" s="114"/>
      <c r="BA404" s="547" t="s">
        <v>4561</v>
      </c>
      <c r="BB404" s="115"/>
      <c r="BC404" s="115"/>
      <c r="BD404" s="115"/>
      <c r="BE404" s="115"/>
      <c r="BF404" s="115"/>
      <c r="BG404" s="547" t="s">
        <v>4562</v>
      </c>
      <c r="BH404" s="549" t="s">
        <v>4563</v>
      </c>
      <c r="BI404" s="115"/>
      <c r="BJ404" s="115"/>
      <c r="BK404" s="115"/>
      <c r="BL404" s="115"/>
      <c r="BM404" s="115"/>
      <c r="BN404" s="115"/>
      <c r="BO404" s="115"/>
      <c r="BP404" s="115"/>
    </row>
    <row r="405" spans="50:68" ht="19.5" customHeight="1">
      <c r="AX405" s="542" t="s">
        <v>4564</v>
      </c>
      <c r="AY405" s="114"/>
      <c r="AZ405" s="114"/>
      <c r="BA405" s="547" t="s">
        <v>4565</v>
      </c>
      <c r="BB405" s="115"/>
      <c r="BC405" s="115"/>
      <c r="BD405" s="115"/>
      <c r="BE405" s="115"/>
      <c r="BF405" s="115"/>
      <c r="BG405" s="549" t="s">
        <v>4566</v>
      </c>
      <c r="BH405" s="115"/>
      <c r="BI405" s="115"/>
      <c r="BJ405" s="115"/>
      <c r="BK405" s="115"/>
      <c r="BL405" s="115"/>
      <c r="BM405" s="115"/>
      <c r="BN405" s="115"/>
      <c r="BO405" s="115"/>
      <c r="BP405" s="115"/>
    </row>
    <row r="406" spans="50:68" ht="19.5" customHeight="1">
      <c r="AX406" s="542" t="s">
        <v>4567</v>
      </c>
      <c r="AY406" s="114"/>
      <c r="AZ406" s="114"/>
      <c r="BA406" s="547" t="s">
        <v>4568</v>
      </c>
      <c r="BB406" s="115"/>
      <c r="BC406" s="115"/>
      <c r="BD406" s="115"/>
      <c r="BE406" s="115"/>
      <c r="BF406" s="115"/>
      <c r="BG406" s="115"/>
      <c r="BH406" s="115"/>
      <c r="BI406" s="115"/>
      <c r="BJ406" s="115"/>
      <c r="BK406" s="115"/>
      <c r="BL406" s="115"/>
      <c r="BM406" s="115"/>
      <c r="BN406" s="115"/>
      <c r="BO406" s="115"/>
      <c r="BP406" s="115"/>
    </row>
    <row r="407" spans="50:68" ht="19.5" customHeight="1">
      <c r="AX407" s="542" t="s">
        <v>4569</v>
      </c>
      <c r="AY407" s="114"/>
      <c r="AZ407" s="114"/>
      <c r="BA407" s="547" t="s">
        <v>4570</v>
      </c>
      <c r="BB407" s="115"/>
      <c r="BC407" s="115"/>
      <c r="BD407" s="115"/>
      <c r="BE407" s="115"/>
      <c r="BF407" s="115"/>
      <c r="BG407" s="115"/>
      <c r="BH407" s="115"/>
      <c r="BI407" s="115"/>
      <c r="BJ407" s="115"/>
      <c r="BK407" s="115"/>
      <c r="BL407" s="115"/>
      <c r="BM407" s="115"/>
      <c r="BN407" s="115"/>
      <c r="BO407" s="115"/>
      <c r="BP407" s="115"/>
    </row>
    <row r="408" spans="50:68" ht="19.5" customHeight="1">
      <c r="AX408" s="542" t="s">
        <v>4571</v>
      </c>
      <c r="AY408" s="114"/>
      <c r="AZ408" s="114"/>
      <c r="BA408" s="549" t="s">
        <v>4572</v>
      </c>
      <c r="BB408" s="115"/>
      <c r="BC408" s="115"/>
      <c r="BD408" s="115"/>
      <c r="BE408" s="115"/>
      <c r="BF408" s="115"/>
      <c r="BG408" s="115"/>
      <c r="BH408" s="115"/>
      <c r="BI408" s="115"/>
      <c r="BJ408" s="115"/>
      <c r="BK408" s="115"/>
      <c r="BL408" s="115"/>
      <c r="BM408" s="115"/>
      <c r="BN408" s="115"/>
      <c r="BO408" s="115"/>
      <c r="BP408" s="115"/>
    </row>
    <row r="409" spans="50:68" ht="19.5" customHeight="1">
      <c r="AX409" s="542" t="s">
        <v>4573</v>
      </c>
      <c r="AY409" s="114"/>
      <c r="AZ409" s="114"/>
      <c r="BA409" s="115"/>
      <c r="BB409" s="115"/>
      <c r="BC409" s="115"/>
      <c r="BD409" s="115"/>
      <c r="BE409" s="115"/>
      <c r="BF409" s="115"/>
      <c r="BG409" s="115"/>
      <c r="BH409" s="115"/>
      <c r="BI409" s="115"/>
      <c r="BJ409" s="115"/>
      <c r="BK409" s="115"/>
      <c r="BL409" s="115"/>
      <c r="BM409" s="115"/>
      <c r="BN409" s="115"/>
      <c r="BO409" s="115"/>
      <c r="BP409" s="115"/>
    </row>
    <row r="410" spans="50:68" ht="19.5" customHeight="1">
      <c r="AX410" s="542" t="s">
        <v>4574</v>
      </c>
      <c r="AY410" s="114"/>
      <c r="AZ410" s="114"/>
      <c r="BA410" s="115"/>
      <c r="BB410" s="115"/>
      <c r="BC410" s="115"/>
      <c r="BD410" s="115"/>
      <c r="BE410" s="115"/>
      <c r="BF410" s="115"/>
      <c r="BG410" s="115"/>
      <c r="BH410" s="115"/>
      <c r="BI410" s="115"/>
      <c r="BJ410" s="115"/>
      <c r="BK410" s="115"/>
      <c r="BL410" s="115"/>
      <c r="BM410" s="115"/>
      <c r="BN410" s="115"/>
      <c r="BO410" s="115"/>
      <c r="BP410" s="115"/>
    </row>
    <row r="411" spans="50:68" ht="19.5" customHeight="1">
      <c r="AX411" s="545" t="s">
        <v>4575</v>
      </c>
      <c r="AY411" s="114"/>
      <c r="AZ411" s="114"/>
      <c r="BA411" s="115"/>
      <c r="BB411" s="115"/>
      <c r="BC411" s="115"/>
      <c r="BD411" s="115"/>
      <c r="BE411" s="115"/>
      <c r="BF411" s="115"/>
      <c r="BG411" s="115"/>
      <c r="BH411" s="115"/>
      <c r="BI411" s="115"/>
      <c r="BJ411" s="115"/>
      <c r="BK411" s="115"/>
      <c r="BL411" s="115"/>
      <c r="BM411" s="115"/>
      <c r="BN411" s="115"/>
      <c r="BO411" s="115"/>
      <c r="BP411" s="115"/>
    </row>
    <row r="412" spans="50:68" ht="19.5" customHeight="1">
      <c r="AX412" s="114"/>
      <c r="AY412" s="114"/>
      <c r="AZ412" s="114"/>
      <c r="BA412" s="115"/>
      <c r="BB412" s="115"/>
      <c r="BC412" s="115"/>
      <c r="BD412" s="115"/>
      <c r="BE412" s="115"/>
      <c r="BF412" s="115"/>
      <c r="BG412" s="115"/>
      <c r="BH412" s="115"/>
      <c r="BI412" s="115"/>
      <c r="BJ412" s="115"/>
      <c r="BK412" s="115"/>
      <c r="BL412" s="115"/>
      <c r="BM412" s="115"/>
      <c r="BN412" s="115"/>
      <c r="BO412" s="115"/>
      <c r="BP412" s="115"/>
    </row>
    <row r="413" spans="50:68" ht="19.5" customHeight="1">
      <c r="AX413" s="114" t="s">
        <v>4576</v>
      </c>
      <c r="AY413" s="114"/>
      <c r="AZ413" s="114"/>
      <c r="BA413" s="115"/>
      <c r="BB413" s="115"/>
      <c r="BC413" s="115"/>
      <c r="BD413" s="115"/>
      <c r="BE413" s="115"/>
      <c r="BF413" s="115"/>
      <c r="BG413" s="115"/>
      <c r="BH413" s="115"/>
      <c r="BI413" s="115"/>
      <c r="BJ413" s="115"/>
      <c r="BK413" s="115"/>
      <c r="BL413" s="115"/>
      <c r="BM413" s="115"/>
      <c r="BN413" s="115"/>
      <c r="BO413" s="115"/>
      <c r="BP413" s="115"/>
    </row>
    <row r="414" spans="50:68" ht="19.5" customHeight="1">
      <c r="AX414" s="796" t="s">
        <v>4577</v>
      </c>
      <c r="AY414" s="1012" t="s">
        <v>4578</v>
      </c>
      <c r="AZ414" s="1012" t="s">
        <v>4579</v>
      </c>
      <c r="BA414" s="1013" t="s">
        <v>4580</v>
      </c>
      <c r="BB414" s="1013" t="s">
        <v>4581</v>
      </c>
      <c r="BC414" s="797" t="s">
        <v>4582</v>
      </c>
      <c r="BD414" s="115"/>
      <c r="BE414" s="115"/>
      <c r="BF414" s="115"/>
      <c r="BG414" s="115"/>
      <c r="BH414" s="115"/>
      <c r="BI414" s="115"/>
      <c r="BJ414" s="115"/>
      <c r="BK414" s="115"/>
      <c r="BL414" s="115"/>
      <c r="BM414" s="115"/>
      <c r="BN414" s="115"/>
      <c r="BO414" s="115"/>
      <c r="BP414" s="115"/>
    </row>
    <row r="415" spans="50:68" ht="19.5" customHeight="1">
      <c r="AX415" s="544" t="s">
        <v>4583</v>
      </c>
      <c r="AY415" s="114" t="s">
        <v>2283</v>
      </c>
      <c r="AZ415" s="114" t="s">
        <v>4099</v>
      </c>
      <c r="BA415" s="115" t="s">
        <v>4584</v>
      </c>
      <c r="BB415" s="115" t="s">
        <v>791</v>
      </c>
      <c r="BC415" s="1014" t="s">
        <v>4585</v>
      </c>
      <c r="BD415" s="115"/>
      <c r="BE415" s="115"/>
      <c r="BF415" s="115"/>
      <c r="BG415" s="115"/>
      <c r="BH415" s="115"/>
      <c r="BI415" s="115"/>
      <c r="BJ415" s="115"/>
      <c r="BK415" s="115"/>
      <c r="BL415" s="115"/>
      <c r="BM415" s="115"/>
      <c r="BN415" s="115"/>
      <c r="BO415" s="115"/>
      <c r="BP415" s="115"/>
    </row>
    <row r="416" spans="50:68" ht="19.5" customHeight="1">
      <c r="AX416" s="544" t="s">
        <v>4583</v>
      </c>
      <c r="AY416" s="114" t="s">
        <v>2283</v>
      </c>
      <c r="AZ416" s="114" t="s">
        <v>4100</v>
      </c>
      <c r="BA416" s="115" t="s">
        <v>4586</v>
      </c>
      <c r="BB416" s="115" t="s">
        <v>789</v>
      </c>
      <c r="BC416" s="1014" t="s">
        <v>4587</v>
      </c>
      <c r="BD416" s="115"/>
      <c r="BE416" s="115"/>
      <c r="BF416" s="115"/>
      <c r="BG416" s="115"/>
      <c r="BH416" s="115"/>
      <c r="BI416" s="115"/>
      <c r="BJ416" s="115"/>
      <c r="BK416" s="115"/>
      <c r="BL416" s="115"/>
      <c r="BM416" s="115"/>
      <c r="BN416" s="115"/>
      <c r="BO416" s="115"/>
      <c r="BP416" s="115"/>
    </row>
    <row r="417" spans="50:68" ht="19.5" customHeight="1">
      <c r="AX417" s="544" t="s">
        <v>4583</v>
      </c>
      <c r="AY417" s="114" t="s">
        <v>2283</v>
      </c>
      <c r="AZ417" s="114" t="s">
        <v>4101</v>
      </c>
      <c r="BA417" s="115" t="s">
        <v>4588</v>
      </c>
      <c r="BB417" s="115" t="s">
        <v>791</v>
      </c>
      <c r="BC417" s="1014" t="s">
        <v>4585</v>
      </c>
      <c r="BD417" s="115"/>
      <c r="BE417" s="115"/>
      <c r="BF417" s="115"/>
      <c r="BG417" s="115"/>
      <c r="BH417" s="115"/>
      <c r="BI417" s="115"/>
      <c r="BJ417" s="115"/>
      <c r="BK417" s="115"/>
      <c r="BL417" s="115"/>
      <c r="BM417" s="115"/>
      <c r="BN417" s="115"/>
      <c r="BO417" s="115"/>
      <c r="BP417" s="115"/>
    </row>
    <row r="418" spans="50:68" ht="19.5" customHeight="1">
      <c r="AX418" s="544" t="s">
        <v>4589</v>
      </c>
      <c r="AY418" s="114" t="s">
        <v>4440</v>
      </c>
      <c r="AZ418" s="114" t="s">
        <v>4103</v>
      </c>
      <c r="BA418" s="115" t="s">
        <v>4590</v>
      </c>
      <c r="BB418" s="115" t="s">
        <v>793</v>
      </c>
      <c r="BC418" s="1014" t="s">
        <v>4591</v>
      </c>
      <c r="BD418" s="115"/>
      <c r="BE418" s="115"/>
      <c r="BF418" s="115"/>
      <c r="BG418" s="115"/>
      <c r="BH418" s="115"/>
      <c r="BI418" s="115"/>
      <c r="BJ418" s="115"/>
      <c r="BK418" s="115"/>
      <c r="BL418" s="115"/>
      <c r="BM418" s="115"/>
      <c r="BN418" s="115"/>
      <c r="BO418" s="115"/>
      <c r="BP418" s="115"/>
    </row>
    <row r="419" spans="50:68" ht="19.5" customHeight="1">
      <c r="AX419" s="544" t="s">
        <v>4589</v>
      </c>
      <c r="AY419" s="114" t="s">
        <v>4440</v>
      </c>
      <c r="AZ419" s="114" t="s">
        <v>4104</v>
      </c>
      <c r="BA419" s="115" t="s">
        <v>4592</v>
      </c>
      <c r="BB419" s="115" t="s">
        <v>793</v>
      </c>
      <c r="BC419" s="1014" t="s">
        <v>4591</v>
      </c>
      <c r="BD419" s="115"/>
      <c r="BE419" s="115"/>
      <c r="BF419" s="115"/>
      <c r="BG419" s="115"/>
      <c r="BH419" s="115"/>
      <c r="BI419" s="115"/>
      <c r="BJ419" s="115"/>
      <c r="BK419" s="115"/>
      <c r="BL419" s="115"/>
      <c r="BM419" s="115"/>
      <c r="BN419" s="115"/>
      <c r="BO419" s="115"/>
      <c r="BP419" s="115"/>
    </row>
    <row r="420" spans="50:68" ht="19.5" customHeight="1">
      <c r="AX420" s="544" t="s">
        <v>4593</v>
      </c>
      <c r="AY420" s="114" t="s">
        <v>4441</v>
      </c>
      <c r="AZ420" s="114" t="s">
        <v>4105</v>
      </c>
      <c r="BA420" s="115" t="s">
        <v>4594</v>
      </c>
      <c r="BB420" s="115" t="s">
        <v>802</v>
      </c>
      <c r="BC420" s="1014" t="s">
        <v>4595</v>
      </c>
      <c r="BD420" s="115"/>
      <c r="BE420" s="115"/>
      <c r="BF420" s="115"/>
      <c r="BG420" s="115"/>
      <c r="BH420" s="115"/>
      <c r="BI420" s="115"/>
      <c r="BJ420" s="115"/>
      <c r="BK420" s="115"/>
      <c r="BL420" s="115"/>
      <c r="BM420" s="115"/>
      <c r="BN420" s="115"/>
      <c r="BO420" s="115"/>
      <c r="BP420" s="115"/>
    </row>
    <row r="421" spans="50:68" ht="19.5" customHeight="1">
      <c r="AX421" s="544" t="s">
        <v>4593</v>
      </c>
      <c r="AY421" s="114" t="s">
        <v>4441</v>
      </c>
      <c r="AZ421" s="114" t="s">
        <v>4106</v>
      </c>
      <c r="BA421" s="115" t="s">
        <v>4596</v>
      </c>
      <c r="BB421" s="115" t="s">
        <v>795</v>
      </c>
      <c r="BC421" s="1014" t="s">
        <v>4597</v>
      </c>
      <c r="BD421" s="115"/>
      <c r="BE421" s="115"/>
      <c r="BF421" s="115"/>
      <c r="BG421" s="115"/>
      <c r="BH421" s="115"/>
      <c r="BI421" s="115"/>
      <c r="BJ421" s="115"/>
      <c r="BK421" s="115"/>
      <c r="BL421" s="115"/>
      <c r="BM421" s="115"/>
      <c r="BN421" s="115"/>
      <c r="BO421" s="115"/>
      <c r="BP421" s="115"/>
    </row>
    <row r="422" spans="50:68" ht="19.5" customHeight="1">
      <c r="AX422" s="544" t="s">
        <v>4593</v>
      </c>
      <c r="AY422" s="114" t="s">
        <v>4441</v>
      </c>
      <c r="AZ422" s="114" t="s">
        <v>4107</v>
      </c>
      <c r="BA422" s="115" t="s">
        <v>4598</v>
      </c>
      <c r="BB422" s="115" t="s">
        <v>1</v>
      </c>
      <c r="BC422" s="1014" t="s">
        <v>4599</v>
      </c>
      <c r="BD422" s="115"/>
      <c r="BE422" s="115"/>
      <c r="BF422" s="115"/>
      <c r="BG422" s="115"/>
      <c r="BH422" s="115"/>
      <c r="BI422" s="115"/>
      <c r="BJ422" s="115"/>
      <c r="BK422" s="115"/>
      <c r="BL422" s="115"/>
      <c r="BM422" s="115"/>
      <c r="BN422" s="115"/>
      <c r="BO422" s="115"/>
      <c r="BP422" s="115"/>
    </row>
    <row r="423" spans="50:68" ht="19.5" customHeight="1">
      <c r="AX423" s="544" t="s">
        <v>4593</v>
      </c>
      <c r="AY423" s="114" t="s">
        <v>4441</v>
      </c>
      <c r="AZ423" s="114" t="s">
        <v>4108</v>
      </c>
      <c r="BA423" s="115" t="s">
        <v>4600</v>
      </c>
      <c r="BB423" s="115" t="s">
        <v>804</v>
      </c>
      <c r="BC423" s="1014" t="s">
        <v>4601</v>
      </c>
      <c r="BD423" s="115"/>
      <c r="BE423" s="115"/>
      <c r="BF423" s="115"/>
      <c r="BG423" s="115"/>
      <c r="BH423" s="115"/>
      <c r="BI423" s="115"/>
      <c r="BJ423" s="115"/>
      <c r="BK423" s="115"/>
      <c r="BL423" s="115"/>
      <c r="BM423" s="115"/>
      <c r="BN423" s="115"/>
      <c r="BO423" s="115"/>
      <c r="BP423" s="115"/>
    </row>
    <row r="424" spans="50:68" ht="19.5" customHeight="1">
      <c r="AX424" s="544" t="s">
        <v>4593</v>
      </c>
      <c r="AY424" s="114" t="s">
        <v>4441</v>
      </c>
      <c r="AZ424" s="114" t="s">
        <v>4109</v>
      </c>
      <c r="BA424" s="115" t="s">
        <v>4602</v>
      </c>
      <c r="BB424" s="115" t="s">
        <v>1</v>
      </c>
      <c r="BC424" s="1014" t="s">
        <v>4599</v>
      </c>
      <c r="BD424" s="115"/>
      <c r="BE424" s="115"/>
      <c r="BF424" s="115"/>
      <c r="BG424" s="115"/>
      <c r="BH424" s="115"/>
      <c r="BI424" s="115"/>
      <c r="BJ424" s="115"/>
      <c r="BK424" s="115"/>
      <c r="BL424" s="115"/>
      <c r="BM424" s="115"/>
      <c r="BN424" s="115"/>
      <c r="BO424" s="115"/>
      <c r="BP424" s="115"/>
    </row>
    <row r="425" spans="50:68" ht="19.5" customHeight="1">
      <c r="AX425" s="544" t="s">
        <v>4593</v>
      </c>
      <c r="AY425" s="114" t="s">
        <v>4441</v>
      </c>
      <c r="AZ425" s="114" t="s">
        <v>4110</v>
      </c>
      <c r="BA425" s="115" t="s">
        <v>4603</v>
      </c>
      <c r="BB425" s="115" t="s">
        <v>800</v>
      </c>
      <c r="BC425" s="1014" t="s">
        <v>4604</v>
      </c>
      <c r="BD425" s="115"/>
      <c r="BE425" s="115"/>
      <c r="BF425" s="115"/>
      <c r="BG425" s="115"/>
      <c r="BH425" s="115"/>
      <c r="BI425" s="115"/>
      <c r="BJ425" s="115"/>
      <c r="BK425" s="115"/>
      <c r="BL425" s="115"/>
      <c r="BM425" s="115"/>
      <c r="BN425" s="115"/>
      <c r="BO425" s="115"/>
      <c r="BP425" s="115"/>
    </row>
    <row r="426" spans="50:68" ht="19.5" customHeight="1">
      <c r="AX426" s="544" t="s">
        <v>4593</v>
      </c>
      <c r="AY426" s="114" t="s">
        <v>4441</v>
      </c>
      <c r="AZ426" s="114" t="s">
        <v>4111</v>
      </c>
      <c r="BA426" s="115" t="s">
        <v>4605</v>
      </c>
      <c r="BB426" s="115" t="s">
        <v>805</v>
      </c>
      <c r="BC426" s="1014" t="s">
        <v>4606</v>
      </c>
      <c r="BD426" s="115"/>
      <c r="BE426" s="115"/>
      <c r="BF426" s="115"/>
      <c r="BG426" s="115"/>
      <c r="BH426" s="115"/>
      <c r="BI426" s="115"/>
      <c r="BJ426" s="115"/>
      <c r="BK426" s="115"/>
      <c r="BL426" s="115"/>
      <c r="BM426" s="115"/>
      <c r="BN426" s="115"/>
      <c r="BO426" s="115"/>
      <c r="BP426" s="115"/>
    </row>
    <row r="427" spans="50:68" ht="19.5" customHeight="1">
      <c r="AX427" s="544" t="s">
        <v>4593</v>
      </c>
      <c r="AY427" s="114" t="s">
        <v>4441</v>
      </c>
      <c r="AZ427" s="114" t="s">
        <v>4112</v>
      </c>
      <c r="BA427" s="115" t="s">
        <v>4222</v>
      </c>
      <c r="BB427" s="115" t="s">
        <v>803</v>
      </c>
      <c r="BC427" s="1014" t="s">
        <v>4607</v>
      </c>
      <c r="BD427" s="115"/>
      <c r="BE427" s="115"/>
      <c r="BF427" s="115"/>
      <c r="BG427" s="115"/>
      <c r="BH427" s="115"/>
      <c r="BI427" s="115"/>
      <c r="BJ427" s="115"/>
      <c r="BK427" s="115"/>
      <c r="BL427" s="115"/>
      <c r="BM427" s="115"/>
      <c r="BN427" s="115"/>
      <c r="BO427" s="115"/>
      <c r="BP427" s="115"/>
    </row>
    <row r="428" spans="50:68" ht="19.5" customHeight="1">
      <c r="AX428" s="544" t="s">
        <v>4593</v>
      </c>
      <c r="AY428" s="114" t="s">
        <v>4441</v>
      </c>
      <c r="AZ428" s="114" t="s">
        <v>4113</v>
      </c>
      <c r="BA428" s="115" t="s">
        <v>4608</v>
      </c>
      <c r="BB428" s="115" t="s">
        <v>805</v>
      </c>
      <c r="BC428" s="1014" t="s">
        <v>4609</v>
      </c>
      <c r="BD428" s="115"/>
      <c r="BE428" s="115"/>
      <c r="BF428" s="115"/>
      <c r="BG428" s="115"/>
      <c r="BH428" s="115"/>
      <c r="BI428" s="115"/>
      <c r="BJ428" s="115"/>
      <c r="BK428" s="115"/>
      <c r="BL428" s="115"/>
      <c r="BM428" s="115"/>
      <c r="BN428" s="115"/>
      <c r="BO428" s="115"/>
      <c r="BP428" s="115"/>
    </row>
    <row r="429" spans="50:68" ht="19.5" customHeight="1">
      <c r="AX429" s="544" t="s">
        <v>4593</v>
      </c>
      <c r="AY429" s="114" t="s">
        <v>4441</v>
      </c>
      <c r="AZ429" s="114" t="s">
        <v>4114</v>
      </c>
      <c r="BA429" s="115" t="s">
        <v>4610</v>
      </c>
      <c r="BB429" s="115" t="s">
        <v>799</v>
      </c>
      <c r="BC429" s="1014" t="s">
        <v>4611</v>
      </c>
      <c r="BD429" s="115"/>
      <c r="BE429" s="115"/>
      <c r="BF429" s="115"/>
      <c r="BG429" s="115"/>
      <c r="BH429" s="115"/>
      <c r="BI429" s="115"/>
      <c r="BJ429" s="115"/>
      <c r="BK429" s="115"/>
      <c r="BL429" s="115"/>
      <c r="BM429" s="115"/>
      <c r="BN429" s="115"/>
      <c r="BO429" s="115"/>
      <c r="BP429" s="115"/>
    </row>
    <row r="430" spans="50:68" ht="19.5" customHeight="1">
      <c r="AX430" s="544" t="s">
        <v>4593</v>
      </c>
      <c r="AY430" s="114" t="s">
        <v>4441</v>
      </c>
      <c r="AZ430" s="114" t="s">
        <v>4612</v>
      </c>
      <c r="BA430" s="115" t="s">
        <v>4613</v>
      </c>
      <c r="BB430" s="115" t="s">
        <v>797</v>
      </c>
      <c r="BC430" s="1014" t="s">
        <v>4614</v>
      </c>
      <c r="BD430" s="115"/>
      <c r="BE430" s="115"/>
      <c r="BF430" s="115"/>
      <c r="BG430" s="115"/>
      <c r="BH430" s="115"/>
      <c r="BI430" s="115"/>
      <c r="BJ430" s="115"/>
      <c r="BK430" s="115"/>
      <c r="BL430" s="115"/>
      <c r="BM430" s="115"/>
      <c r="BN430" s="115"/>
      <c r="BO430" s="115"/>
      <c r="BP430" s="115"/>
    </row>
    <row r="431" spans="50:68" ht="19.5" customHeight="1">
      <c r="AX431" s="544" t="s">
        <v>4593</v>
      </c>
      <c r="AY431" s="114" t="s">
        <v>4441</v>
      </c>
      <c r="AZ431" s="114" t="s">
        <v>4615</v>
      </c>
      <c r="BA431" s="115" t="s">
        <v>4616</v>
      </c>
      <c r="BB431" s="115" t="s">
        <v>801</v>
      </c>
      <c r="BC431" s="1014" t="s">
        <v>4617</v>
      </c>
      <c r="BD431" s="115"/>
      <c r="BE431" s="115"/>
      <c r="BF431" s="115"/>
      <c r="BG431" s="115"/>
      <c r="BH431" s="115"/>
      <c r="BI431" s="115"/>
      <c r="BJ431" s="115"/>
      <c r="BK431" s="115"/>
      <c r="BL431" s="115"/>
      <c r="BM431" s="115"/>
      <c r="BN431" s="115"/>
      <c r="BO431" s="115"/>
      <c r="BP431" s="115"/>
    </row>
    <row r="432" spans="50:68" ht="19.5" customHeight="1">
      <c r="AX432" s="544" t="s">
        <v>4593</v>
      </c>
      <c r="AY432" s="114" t="s">
        <v>4441</v>
      </c>
      <c r="AZ432" s="114" t="s">
        <v>4618</v>
      </c>
      <c r="BA432" s="115" t="s">
        <v>4619</v>
      </c>
      <c r="BB432" s="115" t="s">
        <v>790</v>
      </c>
      <c r="BC432" s="1014" t="s">
        <v>4620</v>
      </c>
      <c r="BD432" s="115"/>
      <c r="BE432" s="115"/>
      <c r="BF432" s="115"/>
      <c r="BG432" s="115"/>
      <c r="BH432" s="115"/>
      <c r="BI432" s="115"/>
      <c r="BJ432" s="115"/>
      <c r="BK432" s="115"/>
      <c r="BL432" s="115"/>
      <c r="BM432" s="115"/>
      <c r="BN432" s="115"/>
      <c r="BO432" s="115"/>
      <c r="BP432" s="115"/>
    </row>
    <row r="433" spans="50:68" ht="19.5" customHeight="1">
      <c r="AX433" s="544" t="s">
        <v>4593</v>
      </c>
      <c r="AY433" s="114" t="s">
        <v>4441</v>
      </c>
      <c r="AZ433" s="114" t="s">
        <v>4621</v>
      </c>
      <c r="BA433" s="115" t="s">
        <v>4622</v>
      </c>
      <c r="BB433" s="115" t="s">
        <v>803</v>
      </c>
      <c r="BC433" s="1014" t="s">
        <v>4607</v>
      </c>
      <c r="BD433" s="115"/>
      <c r="BE433" s="115"/>
      <c r="BF433" s="115"/>
      <c r="BG433" s="115"/>
      <c r="BH433" s="115"/>
      <c r="BI433" s="115"/>
      <c r="BJ433" s="115"/>
      <c r="BK433" s="115"/>
      <c r="BL433" s="115"/>
      <c r="BM433" s="115"/>
      <c r="BN433" s="115"/>
      <c r="BO433" s="115"/>
      <c r="BP433" s="115"/>
    </row>
    <row r="434" spans="50:68" ht="19.5" customHeight="1">
      <c r="AX434" s="544" t="s">
        <v>4623</v>
      </c>
      <c r="AY434" s="114" t="s">
        <v>4442</v>
      </c>
      <c r="AZ434" s="114" t="s">
        <v>4115</v>
      </c>
      <c r="BA434" s="115" t="s">
        <v>4624</v>
      </c>
      <c r="BB434" s="115" t="s">
        <v>806</v>
      </c>
      <c r="BC434" s="1014" t="s">
        <v>4625</v>
      </c>
      <c r="BD434" s="115"/>
      <c r="BE434" s="115"/>
      <c r="BF434" s="115"/>
      <c r="BG434" s="115"/>
      <c r="BH434" s="115"/>
      <c r="BI434" s="115"/>
      <c r="BJ434" s="115"/>
      <c r="BK434" s="115"/>
      <c r="BL434" s="115"/>
      <c r="BM434" s="115"/>
      <c r="BN434" s="115"/>
      <c r="BO434" s="115"/>
      <c r="BP434" s="115"/>
    </row>
    <row r="435" spans="50:68" ht="19.5" customHeight="1">
      <c r="AX435" s="544" t="s">
        <v>4623</v>
      </c>
      <c r="AY435" s="114" t="s">
        <v>4442</v>
      </c>
      <c r="AZ435" s="114" t="s">
        <v>4116</v>
      </c>
      <c r="BA435" s="115" t="s">
        <v>4626</v>
      </c>
      <c r="BB435" s="115" t="s">
        <v>806</v>
      </c>
      <c r="BC435" s="1014" t="s">
        <v>4625</v>
      </c>
      <c r="BD435" s="115"/>
      <c r="BE435" s="115"/>
      <c r="BF435" s="115"/>
      <c r="BG435" s="115"/>
      <c r="BH435" s="115"/>
      <c r="BI435" s="115"/>
      <c r="BJ435" s="115"/>
      <c r="BK435" s="115"/>
      <c r="BL435" s="115"/>
      <c r="BM435" s="115"/>
      <c r="BN435" s="115"/>
      <c r="BO435" s="115"/>
      <c r="BP435" s="115"/>
    </row>
    <row r="436" spans="50:68" ht="19.5" customHeight="1">
      <c r="AX436" s="544" t="s">
        <v>4623</v>
      </c>
      <c r="AY436" s="114" t="s">
        <v>4442</v>
      </c>
      <c r="AZ436" s="114" t="s">
        <v>4117</v>
      </c>
      <c r="BA436" s="115" t="s">
        <v>4627</v>
      </c>
      <c r="BB436" s="115" t="s">
        <v>806</v>
      </c>
      <c r="BC436" s="1014" t="s">
        <v>4625</v>
      </c>
      <c r="BD436" s="115"/>
      <c r="BE436" s="115"/>
      <c r="BF436" s="115"/>
      <c r="BG436" s="115"/>
      <c r="BH436" s="115"/>
      <c r="BI436" s="115"/>
      <c r="BJ436" s="115"/>
      <c r="BK436" s="115"/>
      <c r="BL436" s="115"/>
      <c r="BM436" s="115"/>
      <c r="BN436" s="115"/>
      <c r="BO436" s="115"/>
      <c r="BP436" s="115"/>
    </row>
    <row r="437" spans="50:68" ht="19.5" customHeight="1">
      <c r="AX437" s="544" t="s">
        <v>4623</v>
      </c>
      <c r="AY437" s="114" t="s">
        <v>4442</v>
      </c>
      <c r="AZ437" s="114" t="s">
        <v>4628</v>
      </c>
      <c r="BA437" s="115" t="s">
        <v>4629</v>
      </c>
      <c r="BB437" s="115" t="s">
        <v>806</v>
      </c>
      <c r="BC437" s="1014" t="s">
        <v>4625</v>
      </c>
      <c r="BD437" s="115"/>
      <c r="BE437" s="115"/>
      <c r="BF437" s="115"/>
      <c r="BG437" s="115"/>
      <c r="BH437" s="115"/>
      <c r="BI437" s="115"/>
      <c r="BJ437" s="115"/>
      <c r="BK437" s="115"/>
      <c r="BL437" s="115"/>
      <c r="BM437" s="115"/>
      <c r="BN437" s="115"/>
      <c r="BO437" s="115"/>
      <c r="BP437" s="115"/>
    </row>
    <row r="438" spans="50:68" ht="19.5" customHeight="1">
      <c r="AX438" s="544" t="s">
        <v>4623</v>
      </c>
      <c r="AY438" s="114" t="s">
        <v>4442</v>
      </c>
      <c r="AZ438" s="114" t="s">
        <v>4630</v>
      </c>
      <c r="BA438" s="115" t="s">
        <v>4631</v>
      </c>
      <c r="BB438" s="115" t="s">
        <v>806</v>
      </c>
      <c r="BC438" s="1014" t="s">
        <v>4625</v>
      </c>
      <c r="BD438" s="115"/>
      <c r="BE438" s="115"/>
      <c r="BF438" s="115"/>
      <c r="BG438" s="115"/>
      <c r="BH438" s="115"/>
      <c r="BI438" s="115"/>
      <c r="BJ438" s="115"/>
      <c r="BK438" s="115"/>
      <c r="BL438" s="115"/>
      <c r="BM438" s="115"/>
      <c r="BN438" s="115"/>
      <c r="BO438" s="115"/>
      <c r="BP438" s="115"/>
    </row>
    <row r="439" spans="50:68" ht="19.5" customHeight="1">
      <c r="AX439" s="544" t="s">
        <v>4632</v>
      </c>
      <c r="AY439" s="114" t="s">
        <v>4443</v>
      </c>
      <c r="AZ439" s="114" t="s">
        <v>4118</v>
      </c>
      <c r="BA439" s="115" t="s">
        <v>4633</v>
      </c>
      <c r="BB439" s="115" t="s">
        <v>802</v>
      </c>
      <c r="BC439" s="1014" t="s">
        <v>4634</v>
      </c>
      <c r="BD439" s="115"/>
      <c r="BE439" s="115"/>
      <c r="BF439" s="115"/>
      <c r="BG439" s="115"/>
      <c r="BH439" s="115"/>
      <c r="BI439" s="115"/>
      <c r="BJ439" s="115"/>
      <c r="BK439" s="115"/>
      <c r="BL439" s="115"/>
      <c r="BM439" s="115"/>
      <c r="BN439" s="115"/>
      <c r="BO439" s="115"/>
      <c r="BP439" s="115"/>
    </row>
    <row r="440" spans="50:68" ht="19.5" customHeight="1">
      <c r="AX440" s="544" t="s">
        <v>4632</v>
      </c>
      <c r="AY440" s="114" t="s">
        <v>4443</v>
      </c>
      <c r="AZ440" s="114" t="s">
        <v>4119</v>
      </c>
      <c r="BA440" s="115" t="s">
        <v>4102</v>
      </c>
      <c r="BB440" s="115" t="s">
        <v>804</v>
      </c>
      <c r="BC440" s="1014" t="s">
        <v>4635</v>
      </c>
      <c r="BD440" s="115"/>
      <c r="BE440" s="115"/>
      <c r="BF440" s="115"/>
      <c r="BG440" s="115"/>
      <c r="BH440" s="115"/>
      <c r="BI440" s="115"/>
      <c r="BJ440" s="115"/>
      <c r="BK440" s="115"/>
      <c r="BL440" s="115"/>
      <c r="BM440" s="115"/>
      <c r="BN440" s="115"/>
      <c r="BO440" s="115"/>
      <c r="BP440" s="115"/>
    </row>
    <row r="441" spans="50:68" ht="19.5" customHeight="1">
      <c r="AX441" s="544" t="s">
        <v>4636</v>
      </c>
      <c r="AY441" s="114" t="s">
        <v>4444</v>
      </c>
      <c r="AZ441" s="114" t="s">
        <v>4120</v>
      </c>
      <c r="BA441" s="115" t="s">
        <v>4637</v>
      </c>
      <c r="BB441" s="115" t="s">
        <v>810</v>
      </c>
      <c r="BC441" s="1014" t="s">
        <v>4638</v>
      </c>
      <c r="BD441" s="115"/>
      <c r="BE441" s="115"/>
      <c r="BF441" s="115"/>
      <c r="BG441" s="115"/>
      <c r="BH441" s="115"/>
      <c r="BI441" s="115"/>
      <c r="BJ441" s="115"/>
      <c r="BK441" s="115"/>
      <c r="BL441" s="115"/>
      <c r="BM441" s="115"/>
      <c r="BN441" s="115"/>
      <c r="BO441" s="115"/>
      <c r="BP441" s="115"/>
    </row>
    <row r="442" spans="50:68" ht="19.5" customHeight="1">
      <c r="AX442" s="544" t="s">
        <v>4636</v>
      </c>
      <c r="AY442" s="114" t="s">
        <v>4444</v>
      </c>
      <c r="AZ442" s="114" t="s">
        <v>4121</v>
      </c>
      <c r="BA442" s="115" t="s">
        <v>4639</v>
      </c>
      <c r="BB442" s="115" t="s">
        <v>792</v>
      </c>
      <c r="BC442" s="1014" t="s">
        <v>4640</v>
      </c>
      <c r="BD442" s="115"/>
      <c r="BE442" s="115"/>
      <c r="BF442" s="115"/>
      <c r="BG442" s="115"/>
      <c r="BH442" s="115"/>
      <c r="BI442" s="115"/>
      <c r="BJ442" s="115"/>
      <c r="BK442" s="115"/>
      <c r="BL442" s="115"/>
      <c r="BM442" s="115"/>
      <c r="BN442" s="115"/>
      <c r="BO442" s="115"/>
      <c r="BP442" s="115"/>
    </row>
    <row r="443" spans="50:68" ht="19.5" customHeight="1">
      <c r="AX443" s="544" t="s">
        <v>4636</v>
      </c>
      <c r="AY443" s="114" t="s">
        <v>4444</v>
      </c>
      <c r="AZ443" s="114" t="s">
        <v>4122</v>
      </c>
      <c r="BA443" s="115" t="s">
        <v>4641</v>
      </c>
      <c r="BB443" s="115" t="s">
        <v>809</v>
      </c>
      <c r="BC443" s="1014" t="s">
        <v>4642</v>
      </c>
      <c r="BD443" s="115"/>
      <c r="BE443" s="115"/>
      <c r="BF443" s="115"/>
      <c r="BG443" s="115"/>
      <c r="BH443" s="115"/>
      <c r="BI443" s="115"/>
      <c r="BJ443" s="115"/>
      <c r="BK443" s="115"/>
      <c r="BL443" s="115"/>
      <c r="BM443" s="115"/>
      <c r="BN443" s="115"/>
      <c r="BO443" s="115"/>
      <c r="BP443" s="115"/>
    </row>
    <row r="444" spans="50:68" ht="19.5" customHeight="1">
      <c r="AX444" s="544" t="s">
        <v>4636</v>
      </c>
      <c r="AY444" s="114" t="s">
        <v>4444</v>
      </c>
      <c r="AZ444" s="114" t="s">
        <v>4123</v>
      </c>
      <c r="BA444" s="115" t="s">
        <v>4643</v>
      </c>
      <c r="BB444" s="115" t="s">
        <v>808</v>
      </c>
      <c r="BC444" s="1014" t="s">
        <v>4644</v>
      </c>
      <c r="BD444" s="115"/>
      <c r="BE444" s="115"/>
      <c r="BF444" s="115"/>
      <c r="BG444" s="115"/>
      <c r="BH444" s="115"/>
      <c r="BI444" s="115"/>
      <c r="BJ444" s="115"/>
      <c r="BK444" s="115"/>
      <c r="BL444" s="115"/>
      <c r="BM444" s="115"/>
      <c r="BN444" s="115"/>
      <c r="BO444" s="115"/>
      <c r="BP444" s="115"/>
    </row>
    <row r="445" spans="50:68" ht="19.5" customHeight="1">
      <c r="AX445" s="544" t="s">
        <v>4636</v>
      </c>
      <c r="AY445" s="114" t="s">
        <v>4444</v>
      </c>
      <c r="AZ445" s="114" t="s">
        <v>4124</v>
      </c>
      <c r="BA445" s="115" t="s">
        <v>2450</v>
      </c>
      <c r="BB445" s="115" t="s">
        <v>802</v>
      </c>
      <c r="BC445" s="1014" t="s">
        <v>4645</v>
      </c>
      <c r="BD445" s="115"/>
      <c r="BE445" s="115"/>
      <c r="BF445" s="115"/>
      <c r="BG445" s="115"/>
      <c r="BH445" s="115"/>
      <c r="BI445" s="115"/>
      <c r="BJ445" s="115"/>
      <c r="BK445" s="115"/>
      <c r="BL445" s="115"/>
      <c r="BM445" s="115"/>
      <c r="BN445" s="115"/>
      <c r="BO445" s="115"/>
      <c r="BP445" s="115"/>
    </row>
    <row r="446" spans="50:68" ht="19.5" customHeight="1">
      <c r="AX446" s="544" t="s">
        <v>4636</v>
      </c>
      <c r="AY446" s="114" t="s">
        <v>4444</v>
      </c>
      <c r="AZ446" s="114" t="s">
        <v>4125</v>
      </c>
      <c r="BA446" s="115" t="s">
        <v>4646</v>
      </c>
      <c r="BB446" s="115" t="s">
        <v>807</v>
      </c>
      <c r="BC446" s="1014" t="s">
        <v>4647</v>
      </c>
      <c r="BD446" s="115"/>
      <c r="BE446" s="115"/>
      <c r="BF446" s="115"/>
      <c r="BG446" s="115"/>
      <c r="BH446" s="115"/>
      <c r="BI446" s="115"/>
      <c r="BJ446" s="115"/>
      <c r="BK446" s="115"/>
      <c r="BL446" s="115"/>
      <c r="BM446" s="115"/>
      <c r="BN446" s="115"/>
      <c r="BO446" s="115"/>
      <c r="BP446" s="115"/>
    </row>
    <row r="447" spans="50:68" ht="19.5" customHeight="1">
      <c r="AX447" s="544" t="s">
        <v>4636</v>
      </c>
      <c r="AY447" s="114" t="s">
        <v>4444</v>
      </c>
      <c r="AZ447" s="114" t="s">
        <v>4126</v>
      </c>
      <c r="BA447" s="115" t="s">
        <v>4648</v>
      </c>
      <c r="BB447" s="115" t="s">
        <v>810</v>
      </c>
      <c r="BC447" s="1014" t="s">
        <v>4638</v>
      </c>
      <c r="BD447" s="115"/>
      <c r="BE447" s="115"/>
      <c r="BF447" s="115"/>
      <c r="BG447" s="115"/>
      <c r="BH447" s="115"/>
      <c r="BI447" s="115"/>
      <c r="BJ447" s="115"/>
      <c r="BK447" s="115"/>
      <c r="BL447" s="115"/>
      <c r="BM447" s="115"/>
      <c r="BN447" s="115"/>
      <c r="BO447" s="115"/>
      <c r="BP447" s="115"/>
    </row>
    <row r="448" spans="50:68" ht="19.5" customHeight="1">
      <c r="AX448" s="544" t="s">
        <v>4636</v>
      </c>
      <c r="AY448" s="114" t="s">
        <v>4444</v>
      </c>
      <c r="AZ448" s="114" t="s">
        <v>4127</v>
      </c>
      <c r="BA448" s="115" t="s">
        <v>4649</v>
      </c>
      <c r="BB448" s="115" t="s">
        <v>4097</v>
      </c>
      <c r="BC448" s="1014" t="s">
        <v>991</v>
      </c>
      <c r="BD448" s="115"/>
      <c r="BE448" s="115"/>
      <c r="BF448" s="115"/>
      <c r="BG448" s="115"/>
      <c r="BH448" s="115"/>
      <c r="BI448" s="115"/>
      <c r="BJ448" s="115"/>
      <c r="BK448" s="115"/>
      <c r="BL448" s="115"/>
      <c r="BM448" s="115"/>
      <c r="BN448" s="115"/>
      <c r="BO448" s="115"/>
      <c r="BP448" s="115"/>
    </row>
    <row r="449" spans="50:68" ht="19.5" customHeight="1">
      <c r="AX449" s="544" t="s">
        <v>4650</v>
      </c>
      <c r="AY449" s="114" t="s">
        <v>4445</v>
      </c>
      <c r="AZ449" s="114" t="s">
        <v>4128</v>
      </c>
      <c r="BA449" s="115" t="s">
        <v>4651</v>
      </c>
      <c r="BB449" s="115" t="s">
        <v>802</v>
      </c>
      <c r="BC449" s="1014" t="s">
        <v>4634</v>
      </c>
      <c r="BD449" s="115"/>
      <c r="BE449" s="115"/>
      <c r="BF449" s="115"/>
      <c r="BG449" s="115"/>
      <c r="BH449" s="115"/>
      <c r="BI449" s="115"/>
      <c r="BJ449" s="115"/>
      <c r="BK449" s="115"/>
      <c r="BL449" s="115"/>
      <c r="BM449" s="115"/>
      <c r="BN449" s="115"/>
      <c r="BO449" s="115"/>
      <c r="BP449" s="115"/>
    </row>
    <row r="450" spans="50:68" ht="19.5" customHeight="1">
      <c r="AX450" s="544" t="s">
        <v>4650</v>
      </c>
      <c r="AY450" s="114" t="s">
        <v>4445</v>
      </c>
      <c r="AZ450" s="114" t="s">
        <v>4129</v>
      </c>
      <c r="BA450" s="115" t="s">
        <v>4652</v>
      </c>
      <c r="BB450" s="115" t="s">
        <v>812</v>
      </c>
      <c r="BC450" s="1014" t="s">
        <v>4653</v>
      </c>
      <c r="BD450" s="115"/>
      <c r="BE450" s="115"/>
      <c r="BF450" s="115"/>
      <c r="BG450" s="115"/>
      <c r="BH450" s="115"/>
      <c r="BI450" s="115"/>
      <c r="BJ450" s="115"/>
      <c r="BK450" s="115"/>
      <c r="BL450" s="115"/>
      <c r="BM450" s="115"/>
      <c r="BN450" s="115"/>
      <c r="BO450" s="115"/>
      <c r="BP450" s="115"/>
    </row>
    <row r="451" spans="50:68" ht="19.5" customHeight="1">
      <c r="AX451" s="544" t="s">
        <v>4650</v>
      </c>
      <c r="AY451" s="114" t="s">
        <v>4445</v>
      </c>
      <c r="AZ451" s="114" t="s">
        <v>4130</v>
      </c>
      <c r="BA451" s="115" t="s">
        <v>4654</v>
      </c>
      <c r="BB451" s="115" t="s">
        <v>811</v>
      </c>
      <c r="BC451" s="1014" t="s">
        <v>4655</v>
      </c>
      <c r="BD451" s="115"/>
      <c r="BE451" s="115"/>
      <c r="BF451" s="115"/>
      <c r="BG451" s="115"/>
      <c r="BH451" s="115"/>
      <c r="BI451" s="115"/>
      <c r="BJ451" s="115"/>
      <c r="BK451" s="115"/>
      <c r="BL451" s="115"/>
      <c r="BM451" s="115"/>
      <c r="BN451" s="115"/>
      <c r="BO451" s="115"/>
      <c r="BP451" s="115"/>
    </row>
    <row r="452" spans="50:68" ht="19.5" customHeight="1">
      <c r="AX452" s="544" t="s">
        <v>4650</v>
      </c>
      <c r="AY452" s="114" t="s">
        <v>4445</v>
      </c>
      <c r="AZ452" s="114" t="s">
        <v>4656</v>
      </c>
      <c r="BA452" s="115" t="s">
        <v>4657</v>
      </c>
      <c r="BB452" s="115" t="s">
        <v>802</v>
      </c>
      <c r="BC452" s="1014" t="s">
        <v>4634</v>
      </c>
      <c r="BD452" s="115"/>
      <c r="BE452" s="115"/>
      <c r="BF452" s="115"/>
      <c r="BG452" s="115"/>
      <c r="BH452" s="115"/>
      <c r="BI452" s="115"/>
      <c r="BJ452" s="115"/>
      <c r="BK452" s="115"/>
      <c r="BL452" s="115"/>
      <c r="BM452" s="115"/>
      <c r="BN452" s="115"/>
      <c r="BO452" s="115"/>
      <c r="BP452" s="115"/>
    </row>
    <row r="453" spans="50:68" ht="19.5" customHeight="1">
      <c r="AX453" s="544" t="s">
        <v>4650</v>
      </c>
      <c r="AY453" s="114" t="s">
        <v>4445</v>
      </c>
      <c r="AZ453" s="114" t="s">
        <v>4658</v>
      </c>
      <c r="BA453" s="115" t="s">
        <v>4659</v>
      </c>
      <c r="BB453" s="115" t="s">
        <v>813</v>
      </c>
      <c r="BC453" s="1014" t="s">
        <v>4660</v>
      </c>
      <c r="BD453" s="115"/>
      <c r="BE453" s="115"/>
      <c r="BF453" s="115"/>
      <c r="BG453" s="115"/>
      <c r="BH453" s="115"/>
      <c r="BI453" s="115"/>
      <c r="BJ453" s="115"/>
      <c r="BK453" s="115"/>
      <c r="BL453" s="115"/>
      <c r="BM453" s="115"/>
      <c r="BN453" s="115"/>
      <c r="BO453" s="115"/>
      <c r="BP453" s="115"/>
    </row>
    <row r="454" spans="50:68" ht="19.5" customHeight="1">
      <c r="AX454" s="544" t="s">
        <v>4650</v>
      </c>
      <c r="AY454" s="114" t="s">
        <v>4445</v>
      </c>
      <c r="AZ454" s="114" t="s">
        <v>4661</v>
      </c>
      <c r="BA454" s="115" t="s">
        <v>4662</v>
      </c>
      <c r="BB454" s="115" t="s">
        <v>802</v>
      </c>
      <c r="BC454" s="1014" t="s">
        <v>4645</v>
      </c>
      <c r="BD454" s="115"/>
      <c r="BE454" s="115"/>
      <c r="BF454" s="115"/>
      <c r="BG454" s="115"/>
      <c r="BH454" s="115"/>
      <c r="BI454" s="115"/>
      <c r="BJ454" s="115"/>
      <c r="BK454" s="115"/>
      <c r="BL454" s="115"/>
      <c r="BM454" s="115"/>
      <c r="BN454" s="115"/>
      <c r="BO454" s="115"/>
      <c r="BP454" s="115"/>
    </row>
    <row r="455" spans="50:68" ht="19.5" customHeight="1">
      <c r="AX455" s="544" t="s">
        <v>4650</v>
      </c>
      <c r="AY455" s="114" t="s">
        <v>4445</v>
      </c>
      <c r="AZ455" s="114" t="s">
        <v>4663</v>
      </c>
      <c r="BA455" s="115" t="s">
        <v>4664</v>
      </c>
      <c r="BB455" s="115" t="s">
        <v>3326</v>
      </c>
      <c r="BC455" s="1014" t="s">
        <v>4665</v>
      </c>
      <c r="BD455" s="115"/>
      <c r="BE455" s="115"/>
      <c r="BF455" s="115"/>
      <c r="BG455" s="115"/>
      <c r="BH455" s="115"/>
      <c r="BI455" s="115"/>
      <c r="BJ455" s="115"/>
      <c r="BK455" s="115"/>
      <c r="BL455" s="115"/>
      <c r="BM455" s="115"/>
      <c r="BN455" s="115"/>
      <c r="BO455" s="115"/>
      <c r="BP455" s="115"/>
    </row>
    <row r="456" spans="50:68" ht="19.5" customHeight="1">
      <c r="AX456" s="544" t="s">
        <v>4666</v>
      </c>
      <c r="AY456" s="114" t="s">
        <v>4446</v>
      </c>
      <c r="AZ456" s="114" t="s">
        <v>4131</v>
      </c>
      <c r="BA456" s="115" t="s">
        <v>4667</v>
      </c>
      <c r="BB456" s="115" t="s">
        <v>3327</v>
      </c>
      <c r="BC456" s="1014" t="s">
        <v>4668</v>
      </c>
      <c r="BD456" s="115"/>
      <c r="BE456" s="115"/>
      <c r="BF456" s="115"/>
      <c r="BG456" s="115"/>
      <c r="BH456" s="115"/>
      <c r="BI456" s="115"/>
      <c r="BJ456" s="115"/>
      <c r="BK456" s="115"/>
      <c r="BL456" s="115"/>
      <c r="BM456" s="115"/>
      <c r="BN456" s="115"/>
      <c r="BO456" s="115"/>
      <c r="BP456" s="115"/>
    </row>
    <row r="457" spans="50:68" ht="19.5" customHeight="1">
      <c r="AX457" s="544" t="s">
        <v>4666</v>
      </c>
      <c r="AY457" s="114" t="s">
        <v>4446</v>
      </c>
      <c r="AZ457" s="114" t="s">
        <v>4132</v>
      </c>
      <c r="BA457" s="115" t="s">
        <v>4669</v>
      </c>
      <c r="BB457" s="115" t="s">
        <v>3327</v>
      </c>
      <c r="BC457" s="1014" t="s">
        <v>4668</v>
      </c>
      <c r="BD457" s="115"/>
      <c r="BE457" s="115"/>
      <c r="BF457" s="115"/>
      <c r="BG457" s="115"/>
      <c r="BH457" s="115"/>
      <c r="BI457" s="115"/>
      <c r="BJ457" s="115"/>
      <c r="BK457" s="115"/>
      <c r="BL457" s="115"/>
      <c r="BM457" s="115"/>
      <c r="BN457" s="115"/>
      <c r="BO457" s="115"/>
      <c r="BP457" s="115"/>
    </row>
    <row r="458" spans="50:68" ht="19.5" customHeight="1">
      <c r="AX458" s="544" t="s">
        <v>4666</v>
      </c>
      <c r="AY458" s="114" t="s">
        <v>4446</v>
      </c>
      <c r="AZ458" s="114" t="s">
        <v>4133</v>
      </c>
      <c r="BA458" s="115" t="s">
        <v>4670</v>
      </c>
      <c r="BB458" s="115" t="s">
        <v>807</v>
      </c>
      <c r="BC458" s="1014" t="s">
        <v>4647</v>
      </c>
      <c r="BD458" s="115"/>
      <c r="BE458" s="115"/>
      <c r="BF458" s="115"/>
      <c r="BG458" s="115"/>
      <c r="BH458" s="115"/>
      <c r="BI458" s="115"/>
      <c r="BJ458" s="115"/>
      <c r="BK458" s="115"/>
      <c r="BL458" s="115"/>
      <c r="BM458" s="115"/>
      <c r="BN458" s="115"/>
      <c r="BO458" s="115"/>
      <c r="BP458" s="115"/>
    </row>
    <row r="459" spans="50:68" ht="19.5" customHeight="1">
      <c r="AX459" s="544" t="s">
        <v>4671</v>
      </c>
      <c r="AY459" s="114" t="s">
        <v>4447</v>
      </c>
      <c r="AZ459" s="114" t="s">
        <v>4134</v>
      </c>
      <c r="BA459" s="115" t="s">
        <v>4672</v>
      </c>
      <c r="BB459" s="115" t="s">
        <v>802</v>
      </c>
      <c r="BC459" s="1014" t="s">
        <v>4634</v>
      </c>
      <c r="BD459" s="115"/>
      <c r="BE459" s="115"/>
      <c r="BF459" s="115"/>
      <c r="BG459" s="115"/>
      <c r="BH459" s="115"/>
      <c r="BI459" s="115"/>
      <c r="BJ459" s="115"/>
      <c r="BK459" s="115"/>
      <c r="BL459" s="115"/>
      <c r="BM459" s="115"/>
      <c r="BN459" s="115"/>
      <c r="BO459" s="115"/>
      <c r="BP459" s="115"/>
    </row>
    <row r="460" spans="50:68" ht="19.5" customHeight="1">
      <c r="AX460" s="544" t="s">
        <v>4671</v>
      </c>
      <c r="AY460" s="114" t="s">
        <v>4447</v>
      </c>
      <c r="AZ460" s="114" t="s">
        <v>4135</v>
      </c>
      <c r="BA460" s="115" t="s">
        <v>4673</v>
      </c>
      <c r="BB460" s="115" t="s">
        <v>3328</v>
      </c>
      <c r="BC460" s="1014" t="s">
        <v>4674</v>
      </c>
      <c r="BD460" s="115"/>
      <c r="BE460" s="115"/>
      <c r="BF460" s="115"/>
      <c r="BG460" s="115"/>
      <c r="BH460" s="115"/>
      <c r="BI460" s="115"/>
      <c r="BJ460" s="115"/>
      <c r="BK460" s="115"/>
      <c r="BL460" s="115"/>
      <c r="BM460" s="115"/>
      <c r="BN460" s="115"/>
      <c r="BO460" s="115"/>
      <c r="BP460" s="115"/>
    </row>
    <row r="461" spans="50:68" ht="19.5" customHeight="1">
      <c r="AX461" s="544" t="s">
        <v>4671</v>
      </c>
      <c r="AY461" s="114" t="s">
        <v>4447</v>
      </c>
      <c r="AZ461" s="114" t="s">
        <v>4136</v>
      </c>
      <c r="BA461" s="115" t="s">
        <v>4675</v>
      </c>
      <c r="BB461" s="115" t="s">
        <v>3328</v>
      </c>
      <c r="BC461" s="1014" t="s">
        <v>4674</v>
      </c>
      <c r="BD461" s="115"/>
      <c r="BE461" s="115"/>
      <c r="BF461" s="115"/>
      <c r="BG461" s="115"/>
      <c r="BH461" s="115"/>
      <c r="BI461" s="115"/>
      <c r="BJ461" s="115"/>
      <c r="BK461" s="115"/>
      <c r="BL461" s="115"/>
      <c r="BM461" s="115"/>
      <c r="BN461" s="115"/>
      <c r="BO461" s="115"/>
      <c r="BP461" s="115"/>
    </row>
    <row r="462" spans="50:68" ht="19.5" customHeight="1">
      <c r="AX462" s="544" t="s">
        <v>4671</v>
      </c>
      <c r="AY462" s="114" t="s">
        <v>4447</v>
      </c>
      <c r="AZ462" s="114" t="s">
        <v>4137</v>
      </c>
      <c r="BA462" s="115" t="s">
        <v>4676</v>
      </c>
      <c r="BB462" s="115" t="s">
        <v>3328</v>
      </c>
      <c r="BC462" s="1014" t="s">
        <v>4677</v>
      </c>
      <c r="BD462" s="115"/>
      <c r="BE462" s="115"/>
      <c r="BF462" s="115"/>
      <c r="BG462" s="115"/>
      <c r="BH462" s="115"/>
      <c r="BI462" s="115"/>
      <c r="BJ462" s="115"/>
      <c r="BK462" s="115"/>
      <c r="BL462" s="115"/>
      <c r="BM462" s="115"/>
      <c r="BN462" s="115"/>
      <c r="BO462" s="115"/>
      <c r="BP462" s="115"/>
    </row>
    <row r="463" spans="50:68" ht="19.5" customHeight="1">
      <c r="AX463" s="544" t="s">
        <v>4671</v>
      </c>
      <c r="AY463" s="114" t="s">
        <v>4447</v>
      </c>
      <c r="AZ463" s="114" t="s">
        <v>4678</v>
      </c>
      <c r="BA463" s="115" t="s">
        <v>4679</v>
      </c>
      <c r="BB463" s="115" t="s">
        <v>792</v>
      </c>
      <c r="BC463" s="1014" t="s">
        <v>4640</v>
      </c>
      <c r="BD463" s="115"/>
      <c r="BE463" s="115"/>
      <c r="BF463" s="115"/>
      <c r="BG463" s="115"/>
      <c r="BH463" s="115"/>
      <c r="BI463" s="115"/>
      <c r="BJ463" s="115"/>
      <c r="BK463" s="115"/>
      <c r="BL463" s="115"/>
      <c r="BM463" s="115"/>
      <c r="BN463" s="115"/>
      <c r="BO463" s="115"/>
      <c r="BP463" s="115"/>
    </row>
    <row r="464" spans="50:68" ht="19.5" customHeight="1">
      <c r="AX464" s="544" t="s">
        <v>4671</v>
      </c>
      <c r="AY464" s="114" t="s">
        <v>4447</v>
      </c>
      <c r="AZ464" s="114" t="s">
        <v>4680</v>
      </c>
      <c r="BA464" s="115" t="s">
        <v>4681</v>
      </c>
      <c r="BB464" s="115" t="s">
        <v>794</v>
      </c>
      <c r="BC464" s="1014" t="s">
        <v>4682</v>
      </c>
      <c r="BD464" s="115"/>
      <c r="BE464" s="115"/>
      <c r="BF464" s="115"/>
      <c r="BG464" s="115"/>
      <c r="BH464" s="115"/>
      <c r="BI464" s="115"/>
      <c r="BJ464" s="115"/>
      <c r="BK464" s="115"/>
      <c r="BL464" s="115"/>
      <c r="BM464" s="115"/>
      <c r="BN464" s="115"/>
      <c r="BO464" s="115"/>
      <c r="BP464" s="115"/>
    </row>
    <row r="465" spans="50:68" ht="19.5" customHeight="1">
      <c r="AX465" s="544" t="s">
        <v>4671</v>
      </c>
      <c r="AY465" s="114" t="s">
        <v>4447</v>
      </c>
      <c r="AZ465" s="114" t="s">
        <v>4683</v>
      </c>
      <c r="BA465" s="115" t="s">
        <v>4200</v>
      </c>
      <c r="BB465" s="115" t="s">
        <v>3330</v>
      </c>
      <c r="BC465" s="1014" t="s">
        <v>4684</v>
      </c>
      <c r="BD465" s="115"/>
      <c r="BE465" s="115"/>
      <c r="BF465" s="115"/>
      <c r="BG465" s="115"/>
      <c r="BH465" s="115"/>
      <c r="BI465" s="115"/>
      <c r="BJ465" s="115"/>
      <c r="BK465" s="115"/>
      <c r="BL465" s="115"/>
      <c r="BM465" s="115"/>
      <c r="BN465" s="115"/>
      <c r="BO465" s="115"/>
      <c r="BP465" s="115"/>
    </row>
    <row r="466" spans="50:68" ht="19.5" customHeight="1">
      <c r="AX466" s="544" t="s">
        <v>4671</v>
      </c>
      <c r="AY466" s="114" t="s">
        <v>4447</v>
      </c>
      <c r="AZ466" s="114" t="s">
        <v>4685</v>
      </c>
      <c r="BA466" s="115" t="s">
        <v>4686</v>
      </c>
      <c r="BB466" s="115" t="s">
        <v>802</v>
      </c>
      <c r="BC466" s="1014" t="s">
        <v>4645</v>
      </c>
      <c r="BD466" s="115"/>
      <c r="BE466" s="115"/>
      <c r="BF466" s="115"/>
      <c r="BG466" s="115"/>
      <c r="BH466" s="115"/>
      <c r="BI466" s="115"/>
      <c r="BJ466" s="115"/>
      <c r="BK466" s="115"/>
      <c r="BL466" s="115"/>
      <c r="BM466" s="115"/>
      <c r="BN466" s="115"/>
      <c r="BO466" s="115"/>
      <c r="BP466" s="115"/>
    </row>
    <row r="467" spans="50:68" ht="19.5" customHeight="1">
      <c r="AX467" s="544" t="s">
        <v>4671</v>
      </c>
      <c r="AY467" s="114" t="s">
        <v>4447</v>
      </c>
      <c r="AZ467" s="114" t="s">
        <v>4687</v>
      </c>
      <c r="BA467" s="115" t="s">
        <v>4688</v>
      </c>
      <c r="BB467" s="115" t="s">
        <v>3331</v>
      </c>
      <c r="BC467" s="1014" t="s">
        <v>4689</v>
      </c>
      <c r="BD467" s="115"/>
      <c r="BE467" s="115"/>
      <c r="BF467" s="115"/>
      <c r="BG467" s="115"/>
      <c r="BH467" s="115"/>
      <c r="BI467" s="115"/>
      <c r="BJ467" s="115"/>
      <c r="BK467" s="115"/>
      <c r="BL467" s="115"/>
      <c r="BM467" s="115"/>
      <c r="BN467" s="115"/>
      <c r="BO467" s="115"/>
      <c r="BP467" s="115"/>
    </row>
    <row r="468" spans="50:68" ht="19.5" customHeight="1">
      <c r="AX468" s="544" t="s">
        <v>4671</v>
      </c>
      <c r="AY468" s="114" t="s">
        <v>4447</v>
      </c>
      <c r="AZ468" s="114" t="s">
        <v>4690</v>
      </c>
      <c r="BA468" s="115" t="s">
        <v>4691</v>
      </c>
      <c r="BB468" s="115" t="s">
        <v>3329</v>
      </c>
      <c r="BC468" s="1014" t="s">
        <v>4692</v>
      </c>
      <c r="BD468" s="115"/>
      <c r="BE468" s="115"/>
      <c r="BF468" s="115"/>
      <c r="BG468" s="115"/>
      <c r="BH468" s="115"/>
      <c r="BI468" s="115"/>
      <c r="BJ468" s="115"/>
      <c r="BK468" s="115"/>
      <c r="BL468" s="115"/>
      <c r="BM468" s="115"/>
      <c r="BN468" s="115"/>
      <c r="BO468" s="115"/>
      <c r="BP468" s="115"/>
    </row>
    <row r="469" spans="50:68" ht="19.5" customHeight="1">
      <c r="AX469" s="544" t="s">
        <v>4671</v>
      </c>
      <c r="AY469" s="114" t="s">
        <v>4447</v>
      </c>
      <c r="AZ469" s="114" t="s">
        <v>4693</v>
      </c>
      <c r="BA469" s="115" t="s">
        <v>4694</v>
      </c>
      <c r="BB469" s="115" t="s">
        <v>807</v>
      </c>
      <c r="BC469" s="1014" t="s">
        <v>4647</v>
      </c>
      <c r="BD469" s="115"/>
      <c r="BE469" s="115"/>
      <c r="BF469" s="115"/>
      <c r="BG469" s="115"/>
      <c r="BH469" s="115"/>
      <c r="BI469" s="115"/>
      <c r="BJ469" s="115"/>
      <c r="BK469" s="115"/>
      <c r="BL469" s="115"/>
      <c r="BM469" s="115"/>
      <c r="BN469" s="115"/>
      <c r="BO469" s="115"/>
      <c r="BP469" s="115"/>
    </row>
    <row r="470" spans="50:68" ht="19.5" customHeight="1">
      <c r="AX470" s="544" t="s">
        <v>4695</v>
      </c>
      <c r="AY470" s="114" t="s">
        <v>4448</v>
      </c>
      <c r="AZ470" s="114" t="s">
        <v>4138</v>
      </c>
      <c r="BA470" s="115" t="s">
        <v>4696</v>
      </c>
      <c r="BB470" s="115" t="s">
        <v>3333</v>
      </c>
      <c r="BC470" s="1014" t="s">
        <v>4697</v>
      </c>
      <c r="BD470" s="115"/>
      <c r="BE470" s="115"/>
      <c r="BF470" s="115"/>
      <c r="BG470" s="115"/>
      <c r="BH470" s="115"/>
      <c r="BI470" s="115"/>
      <c r="BJ470" s="115"/>
      <c r="BK470" s="115"/>
      <c r="BL470" s="115"/>
      <c r="BM470" s="115"/>
      <c r="BN470" s="115"/>
      <c r="BO470" s="115"/>
      <c r="BP470" s="115"/>
    </row>
    <row r="471" spans="50:68" ht="19.5" customHeight="1">
      <c r="AX471" s="544" t="s">
        <v>4695</v>
      </c>
      <c r="AY471" s="114" t="s">
        <v>4448</v>
      </c>
      <c r="AZ471" s="114" t="s">
        <v>4139</v>
      </c>
      <c r="BA471" s="115" t="s">
        <v>4698</v>
      </c>
      <c r="BB471" s="115" t="s">
        <v>3329</v>
      </c>
      <c r="BC471" s="1014" t="s">
        <v>4699</v>
      </c>
      <c r="BD471" s="115"/>
      <c r="BE471" s="115"/>
      <c r="BF471" s="115"/>
      <c r="BG471" s="115"/>
      <c r="BH471" s="115"/>
      <c r="BI471" s="115"/>
      <c r="BJ471" s="115"/>
      <c r="BK471" s="115"/>
      <c r="BL471" s="115"/>
      <c r="BM471" s="115"/>
      <c r="BN471" s="115"/>
      <c r="BO471" s="115"/>
      <c r="BP471" s="115"/>
    </row>
    <row r="472" spans="50:68" ht="19.5" customHeight="1">
      <c r="AX472" s="544" t="s">
        <v>4695</v>
      </c>
      <c r="AY472" s="114" t="s">
        <v>4448</v>
      </c>
      <c r="AZ472" s="114" t="s">
        <v>4140</v>
      </c>
      <c r="BA472" s="115" t="s">
        <v>4700</v>
      </c>
      <c r="BB472" s="115" t="s">
        <v>3338</v>
      </c>
      <c r="BC472" s="1014" t="s">
        <v>4701</v>
      </c>
      <c r="BD472" s="115"/>
      <c r="BE472" s="115"/>
      <c r="BF472" s="115"/>
      <c r="BG472" s="115"/>
      <c r="BH472" s="115"/>
      <c r="BI472" s="115"/>
      <c r="BJ472" s="115"/>
      <c r="BK472" s="115"/>
      <c r="BL472" s="115"/>
      <c r="BM472" s="115"/>
      <c r="BN472" s="115"/>
      <c r="BO472" s="115"/>
      <c r="BP472" s="115"/>
    </row>
    <row r="473" spans="50:68" ht="19.5" customHeight="1">
      <c r="AX473" s="544" t="s">
        <v>4695</v>
      </c>
      <c r="AY473" s="114" t="s">
        <v>4448</v>
      </c>
      <c r="AZ473" s="114" t="s">
        <v>4141</v>
      </c>
      <c r="BA473" s="115" t="s">
        <v>4702</v>
      </c>
      <c r="BB473" s="115" t="s">
        <v>3335</v>
      </c>
      <c r="BC473" s="1014" t="s">
        <v>4703</v>
      </c>
      <c r="BD473" s="115"/>
      <c r="BE473" s="115"/>
      <c r="BF473" s="115"/>
      <c r="BG473" s="115"/>
      <c r="BH473" s="115"/>
      <c r="BI473" s="115"/>
      <c r="BJ473" s="115"/>
      <c r="BK473" s="115"/>
      <c r="BL473" s="115"/>
      <c r="BM473" s="115"/>
      <c r="BN473" s="115"/>
      <c r="BO473" s="115"/>
      <c r="BP473" s="115"/>
    </row>
    <row r="474" spans="50:68" ht="19.5" customHeight="1">
      <c r="AX474" s="544" t="s">
        <v>4695</v>
      </c>
      <c r="AY474" s="114" t="s">
        <v>4448</v>
      </c>
      <c r="AZ474" s="114" t="s">
        <v>4142</v>
      </c>
      <c r="BA474" s="115" t="s">
        <v>4704</v>
      </c>
      <c r="BB474" s="115" t="s">
        <v>3332</v>
      </c>
      <c r="BC474" s="1014" t="s">
        <v>4705</v>
      </c>
      <c r="BD474" s="115"/>
      <c r="BE474" s="115"/>
      <c r="BF474" s="115"/>
      <c r="BG474" s="115"/>
      <c r="BH474" s="115"/>
      <c r="BI474" s="115"/>
      <c r="BJ474" s="115"/>
      <c r="BK474" s="115"/>
      <c r="BL474" s="115"/>
      <c r="BM474" s="115"/>
      <c r="BN474" s="115"/>
      <c r="BO474" s="115"/>
      <c r="BP474" s="115"/>
    </row>
    <row r="475" spans="50:68" ht="19.5" customHeight="1">
      <c r="AX475" s="544" t="s">
        <v>4695</v>
      </c>
      <c r="AY475" s="114" t="s">
        <v>4448</v>
      </c>
      <c r="AZ475" s="114" t="s">
        <v>4143</v>
      </c>
      <c r="BA475" s="115" t="s">
        <v>4706</v>
      </c>
      <c r="BB475" s="115" t="s">
        <v>3337</v>
      </c>
      <c r="BC475" s="1014" t="s">
        <v>4707</v>
      </c>
      <c r="BD475" s="115"/>
      <c r="BE475" s="115"/>
      <c r="BF475" s="115"/>
      <c r="BG475" s="115"/>
      <c r="BH475" s="115"/>
      <c r="BI475" s="115"/>
      <c r="BJ475" s="115"/>
      <c r="BK475" s="115"/>
      <c r="BL475" s="115"/>
      <c r="BM475" s="115"/>
      <c r="BN475" s="115"/>
      <c r="BO475" s="115"/>
      <c r="BP475" s="115"/>
    </row>
    <row r="476" spans="50:68" ht="19.5" customHeight="1">
      <c r="AX476" s="544" t="s">
        <v>4695</v>
      </c>
      <c r="AY476" s="114" t="s">
        <v>4448</v>
      </c>
      <c r="AZ476" s="114" t="s">
        <v>4144</v>
      </c>
      <c r="BA476" s="115" t="s">
        <v>4708</v>
      </c>
      <c r="BB476" s="115" t="s">
        <v>3335</v>
      </c>
      <c r="BC476" s="1014" t="s">
        <v>4709</v>
      </c>
      <c r="BD476" s="115"/>
      <c r="BE476" s="115"/>
      <c r="BF476" s="115"/>
      <c r="BG476" s="115"/>
      <c r="BH476" s="115"/>
      <c r="BI476" s="115"/>
      <c r="BJ476" s="115"/>
      <c r="BK476" s="115"/>
      <c r="BL476" s="115"/>
      <c r="BM476" s="115"/>
      <c r="BN476" s="115"/>
      <c r="BO476" s="115"/>
      <c r="BP476" s="115"/>
    </row>
    <row r="477" spans="50:68" ht="19.5" customHeight="1">
      <c r="AX477" s="544" t="s">
        <v>4695</v>
      </c>
      <c r="AY477" s="114" t="s">
        <v>4448</v>
      </c>
      <c r="AZ477" s="114" t="s">
        <v>4145</v>
      </c>
      <c r="BA477" s="115" t="s">
        <v>4710</v>
      </c>
      <c r="BB477" s="115" t="s">
        <v>3336</v>
      </c>
      <c r="BC477" s="1014" t="s">
        <v>4711</v>
      </c>
      <c r="BD477" s="115"/>
      <c r="BE477" s="115"/>
      <c r="BF477" s="115"/>
      <c r="BG477" s="115"/>
      <c r="BH477" s="115"/>
      <c r="BI477" s="115"/>
      <c r="BJ477" s="115"/>
      <c r="BK477" s="115"/>
      <c r="BL477" s="115"/>
      <c r="BM477" s="115"/>
      <c r="BN477" s="115"/>
      <c r="BO477" s="115"/>
      <c r="BP477" s="115"/>
    </row>
    <row r="478" spans="50:68" ht="19.5" customHeight="1">
      <c r="AX478" s="544" t="s">
        <v>4695</v>
      </c>
      <c r="AY478" s="114" t="s">
        <v>4448</v>
      </c>
      <c r="AZ478" s="114" t="s">
        <v>4712</v>
      </c>
      <c r="BA478" s="115" t="s">
        <v>4713</v>
      </c>
      <c r="BB478" s="115" t="s">
        <v>3334</v>
      </c>
      <c r="BC478" s="1014" t="s">
        <v>4714</v>
      </c>
      <c r="BD478" s="115"/>
      <c r="BE478" s="115"/>
      <c r="BF478" s="115"/>
      <c r="BG478" s="115"/>
      <c r="BH478" s="115"/>
      <c r="BI478" s="115"/>
      <c r="BJ478" s="115"/>
      <c r="BK478" s="115"/>
      <c r="BL478" s="115"/>
      <c r="BM478" s="115"/>
      <c r="BN478" s="115"/>
      <c r="BO478" s="115"/>
      <c r="BP478" s="115"/>
    </row>
    <row r="479" spans="50:68" ht="19.5" customHeight="1">
      <c r="AX479" s="544" t="s">
        <v>4695</v>
      </c>
      <c r="AY479" s="114" t="s">
        <v>4448</v>
      </c>
      <c r="AZ479" s="114" t="s">
        <v>4715</v>
      </c>
      <c r="BA479" s="115" t="s">
        <v>4716</v>
      </c>
      <c r="BB479" s="115" t="s">
        <v>800</v>
      </c>
      <c r="BC479" s="1014" t="s">
        <v>4717</v>
      </c>
      <c r="BD479" s="115"/>
      <c r="BE479" s="115"/>
      <c r="BF479" s="115"/>
      <c r="BG479" s="115"/>
      <c r="BH479" s="115"/>
      <c r="BI479" s="115"/>
      <c r="BJ479" s="115"/>
      <c r="BK479" s="115"/>
      <c r="BL479" s="115"/>
      <c r="BM479" s="115"/>
      <c r="BN479" s="115"/>
      <c r="BO479" s="115"/>
      <c r="BP479" s="115"/>
    </row>
    <row r="480" spans="50:68" ht="19.5" customHeight="1">
      <c r="AX480" s="544" t="s">
        <v>4718</v>
      </c>
      <c r="AY480" s="114" t="s">
        <v>4449</v>
      </c>
      <c r="AZ480" s="114" t="s">
        <v>4719</v>
      </c>
      <c r="BA480" s="115" t="s">
        <v>4720</v>
      </c>
      <c r="BB480" s="115" t="s">
        <v>3341</v>
      </c>
      <c r="BC480" s="1014" t="s">
        <v>4721</v>
      </c>
      <c r="BD480" s="115"/>
      <c r="BE480" s="115"/>
      <c r="BF480" s="115"/>
      <c r="BG480" s="115"/>
      <c r="BH480" s="115"/>
      <c r="BI480" s="115"/>
      <c r="BJ480" s="115"/>
      <c r="BK480" s="115"/>
      <c r="BL480" s="115"/>
      <c r="BM480" s="115"/>
      <c r="BN480" s="115"/>
      <c r="BO480" s="115"/>
      <c r="BP480" s="115"/>
    </row>
    <row r="481" spans="50:68" ht="19.5" customHeight="1">
      <c r="AX481" s="544" t="s">
        <v>4718</v>
      </c>
      <c r="AY481" s="114" t="s">
        <v>4449</v>
      </c>
      <c r="AZ481" s="114" t="s">
        <v>4722</v>
      </c>
      <c r="BA481" s="115" t="s">
        <v>4723</v>
      </c>
      <c r="BB481" s="115" t="s">
        <v>3340</v>
      </c>
      <c r="BC481" s="1014" t="s">
        <v>4724</v>
      </c>
      <c r="BD481" s="115"/>
      <c r="BE481" s="115"/>
      <c r="BF481" s="115"/>
      <c r="BG481" s="115"/>
      <c r="BH481" s="115"/>
      <c r="BI481" s="115"/>
      <c r="BJ481" s="115"/>
      <c r="BK481" s="115"/>
      <c r="BL481" s="115"/>
      <c r="BM481" s="115"/>
      <c r="BN481" s="115"/>
      <c r="BO481" s="115"/>
      <c r="BP481" s="115"/>
    </row>
    <row r="482" spans="50:68" ht="19.5" customHeight="1">
      <c r="AX482" s="544" t="s">
        <v>4718</v>
      </c>
      <c r="AY482" s="114" t="s">
        <v>4449</v>
      </c>
      <c r="AZ482" s="114" t="s">
        <v>4725</v>
      </c>
      <c r="BA482" s="115" t="s">
        <v>4726</v>
      </c>
      <c r="BB482" s="115" t="s">
        <v>3339</v>
      </c>
      <c r="BC482" s="1014" t="s">
        <v>4727</v>
      </c>
      <c r="BD482" s="115"/>
      <c r="BE482" s="115"/>
      <c r="BF482" s="115"/>
      <c r="BG482" s="115"/>
      <c r="BH482" s="115"/>
      <c r="BI482" s="115"/>
      <c r="BJ482" s="115"/>
      <c r="BK482" s="115"/>
      <c r="BL482" s="115"/>
      <c r="BM482" s="115"/>
      <c r="BN482" s="115"/>
      <c r="BO482" s="115"/>
      <c r="BP482" s="115"/>
    </row>
    <row r="483" spans="50:68" ht="19.5" customHeight="1">
      <c r="AX483" s="544" t="s">
        <v>4718</v>
      </c>
      <c r="AY483" s="114" t="s">
        <v>4449</v>
      </c>
      <c r="AZ483" s="114" t="s">
        <v>4728</v>
      </c>
      <c r="BA483" s="115" t="s">
        <v>4729</v>
      </c>
      <c r="BB483" s="115" t="s">
        <v>3342</v>
      </c>
      <c r="BC483" s="1014" t="s">
        <v>4730</v>
      </c>
      <c r="BD483" s="115"/>
      <c r="BE483" s="115"/>
      <c r="BF483" s="115"/>
      <c r="BG483" s="115"/>
      <c r="BH483" s="115"/>
      <c r="BI483" s="115"/>
      <c r="BJ483" s="115"/>
      <c r="BK483" s="115"/>
      <c r="BL483" s="115"/>
      <c r="BM483" s="115"/>
      <c r="BN483" s="115"/>
      <c r="BO483" s="115"/>
      <c r="BP483" s="115"/>
    </row>
    <row r="484" spans="50:68" ht="19.5" customHeight="1">
      <c r="AX484" s="544" t="s">
        <v>4718</v>
      </c>
      <c r="AY484" s="114" t="s">
        <v>4449</v>
      </c>
      <c r="AZ484" s="114" t="s">
        <v>4731</v>
      </c>
      <c r="BA484" s="115" t="s">
        <v>4732</v>
      </c>
      <c r="BB484" s="115" t="s">
        <v>796</v>
      </c>
      <c r="BC484" s="1014" t="s">
        <v>4733</v>
      </c>
      <c r="BD484" s="115"/>
      <c r="BE484" s="115"/>
      <c r="BF484" s="115"/>
      <c r="BG484" s="115"/>
      <c r="BH484" s="115"/>
      <c r="BI484" s="115"/>
      <c r="BJ484" s="115"/>
      <c r="BK484" s="115"/>
      <c r="BL484" s="115"/>
      <c r="BM484" s="115"/>
      <c r="BN484" s="115"/>
      <c r="BO484" s="115"/>
      <c r="BP484" s="115"/>
    </row>
    <row r="485" spans="50:68" ht="19.5" customHeight="1">
      <c r="AX485" s="544" t="s">
        <v>4734</v>
      </c>
      <c r="AY485" s="114" t="s">
        <v>4450</v>
      </c>
      <c r="AZ485" s="114" t="s">
        <v>4735</v>
      </c>
      <c r="BA485" s="115" t="s">
        <v>4736</v>
      </c>
      <c r="BB485" s="115" t="s">
        <v>3344</v>
      </c>
      <c r="BC485" s="1014" t="s">
        <v>4737</v>
      </c>
      <c r="BD485" s="115"/>
      <c r="BE485" s="115"/>
      <c r="BF485" s="115"/>
      <c r="BG485" s="115"/>
      <c r="BH485" s="115"/>
      <c r="BI485" s="115"/>
      <c r="BJ485" s="115"/>
      <c r="BK485" s="115"/>
      <c r="BL485" s="115"/>
      <c r="BM485" s="115"/>
      <c r="BN485" s="115"/>
      <c r="BO485" s="115"/>
      <c r="BP485" s="115"/>
    </row>
    <row r="486" spans="50:68" ht="19.5" customHeight="1">
      <c r="AX486" s="544" t="s">
        <v>4734</v>
      </c>
      <c r="AY486" s="114" t="s">
        <v>4450</v>
      </c>
      <c r="AZ486" s="114" t="s">
        <v>4738</v>
      </c>
      <c r="BA486" s="115" t="s">
        <v>4739</v>
      </c>
      <c r="BB486" s="115" t="s">
        <v>3343</v>
      </c>
      <c r="BC486" s="1014" t="s">
        <v>4740</v>
      </c>
      <c r="BD486" s="115"/>
      <c r="BE486" s="115"/>
      <c r="BF486" s="115"/>
      <c r="BG486" s="115"/>
      <c r="BH486" s="115"/>
      <c r="BI486" s="115"/>
      <c r="BJ486" s="115"/>
      <c r="BK486" s="115"/>
      <c r="BL486" s="115"/>
      <c r="BM486" s="115"/>
      <c r="BN486" s="115"/>
      <c r="BO486" s="115"/>
      <c r="BP486" s="115"/>
    </row>
    <row r="487" spans="50:68" ht="19.5" customHeight="1">
      <c r="AX487" s="544" t="s">
        <v>4734</v>
      </c>
      <c r="AY487" s="114" t="s">
        <v>4450</v>
      </c>
      <c r="AZ487" s="114" t="s">
        <v>4741</v>
      </c>
      <c r="BA487" s="115" t="s">
        <v>4742</v>
      </c>
      <c r="BB487" s="115" t="s">
        <v>813</v>
      </c>
      <c r="BC487" s="1014" t="s">
        <v>4660</v>
      </c>
      <c r="BD487" s="115"/>
      <c r="BE487" s="115"/>
      <c r="BF487" s="115"/>
      <c r="BG487" s="115"/>
      <c r="BH487" s="115"/>
      <c r="BI487" s="115"/>
      <c r="BJ487" s="115"/>
      <c r="BK487" s="115"/>
      <c r="BL487" s="115"/>
      <c r="BM487" s="115"/>
      <c r="BN487" s="115"/>
      <c r="BO487" s="115"/>
      <c r="BP487" s="115"/>
    </row>
    <row r="488" spans="50:68" ht="19.5" customHeight="1">
      <c r="AX488" s="544" t="s">
        <v>4734</v>
      </c>
      <c r="AY488" s="114" t="s">
        <v>4450</v>
      </c>
      <c r="AZ488" s="114" t="s">
        <v>4743</v>
      </c>
      <c r="BA488" s="115" t="s">
        <v>4744</v>
      </c>
      <c r="BB488" s="115" t="s">
        <v>801</v>
      </c>
      <c r="BC488" s="1014" t="s">
        <v>4745</v>
      </c>
      <c r="BD488" s="115"/>
      <c r="BE488" s="115"/>
      <c r="BF488" s="115"/>
      <c r="BG488" s="115"/>
      <c r="BH488" s="115"/>
      <c r="BI488" s="115"/>
      <c r="BJ488" s="115"/>
      <c r="BK488" s="115"/>
      <c r="BL488" s="115"/>
      <c r="BM488" s="115"/>
      <c r="BN488" s="115"/>
      <c r="BO488" s="115"/>
      <c r="BP488" s="115"/>
    </row>
    <row r="489" spans="50:68" ht="19.5" customHeight="1">
      <c r="AX489" s="544" t="s">
        <v>4746</v>
      </c>
      <c r="AY489" s="114" t="s">
        <v>3413</v>
      </c>
      <c r="AZ489" s="114" t="s">
        <v>4747</v>
      </c>
      <c r="BA489" s="115" t="s">
        <v>4748</v>
      </c>
      <c r="BB489" s="115" t="s">
        <v>3345</v>
      </c>
      <c r="BC489" s="1014" t="s">
        <v>4749</v>
      </c>
      <c r="BD489" s="115"/>
      <c r="BE489" s="115"/>
      <c r="BF489" s="115"/>
      <c r="BG489" s="115"/>
      <c r="BH489" s="115"/>
      <c r="BI489" s="115"/>
      <c r="BJ489" s="115"/>
      <c r="BK489" s="115"/>
      <c r="BL489" s="115"/>
      <c r="BM489" s="115"/>
      <c r="BN489" s="115"/>
      <c r="BO489" s="115"/>
      <c r="BP489" s="115"/>
    </row>
    <row r="490" spans="50:68" ht="19.5" customHeight="1">
      <c r="AX490" s="544" t="s">
        <v>4746</v>
      </c>
      <c r="AY490" s="114" t="s">
        <v>3413</v>
      </c>
      <c r="AZ490" s="114" t="s">
        <v>4750</v>
      </c>
      <c r="BA490" s="115" t="s">
        <v>4751</v>
      </c>
      <c r="BB490" s="115" t="s">
        <v>3345</v>
      </c>
      <c r="BC490" s="1014" t="s">
        <v>4749</v>
      </c>
      <c r="BD490" s="115"/>
      <c r="BE490" s="115"/>
      <c r="BF490" s="115"/>
      <c r="BG490" s="115"/>
      <c r="BH490" s="115"/>
      <c r="BI490" s="115"/>
      <c r="BJ490" s="115"/>
      <c r="BK490" s="115"/>
      <c r="BL490" s="115"/>
      <c r="BM490" s="115"/>
      <c r="BN490" s="115"/>
      <c r="BO490" s="115"/>
      <c r="BP490" s="115"/>
    </row>
    <row r="491" spans="50:68" ht="19.5" customHeight="1">
      <c r="AX491" s="544" t="s">
        <v>4746</v>
      </c>
      <c r="AY491" s="114" t="s">
        <v>3413</v>
      </c>
      <c r="AZ491" s="114" t="s">
        <v>4752</v>
      </c>
      <c r="BA491" s="115" t="s">
        <v>4753</v>
      </c>
      <c r="BB491" s="115" t="s">
        <v>3345</v>
      </c>
      <c r="BC491" s="1014" t="s">
        <v>4749</v>
      </c>
      <c r="BD491" s="115"/>
      <c r="BE491" s="115"/>
      <c r="BF491" s="115"/>
      <c r="BG491" s="115"/>
      <c r="BH491" s="115"/>
      <c r="BI491" s="115"/>
      <c r="BJ491" s="115"/>
      <c r="BK491" s="115"/>
      <c r="BL491" s="115"/>
      <c r="BM491" s="115"/>
      <c r="BN491" s="115"/>
      <c r="BO491" s="115"/>
      <c r="BP491" s="115"/>
    </row>
    <row r="492" spans="50:68" ht="19.5" customHeight="1">
      <c r="AX492" s="544" t="s">
        <v>4746</v>
      </c>
      <c r="AY492" s="114" t="s">
        <v>3413</v>
      </c>
      <c r="AZ492" s="114" t="s">
        <v>4754</v>
      </c>
      <c r="BA492" s="115" t="s">
        <v>4755</v>
      </c>
      <c r="BB492" s="115" t="s">
        <v>3345</v>
      </c>
      <c r="BC492" s="1014" t="s">
        <v>4749</v>
      </c>
      <c r="BD492" s="115"/>
      <c r="BE492" s="115"/>
      <c r="BF492" s="115"/>
      <c r="BG492" s="115"/>
      <c r="BH492" s="115"/>
      <c r="BI492" s="115"/>
      <c r="BJ492" s="115"/>
      <c r="BK492" s="115"/>
      <c r="BL492" s="115"/>
      <c r="BM492" s="115"/>
      <c r="BN492" s="115"/>
      <c r="BO492" s="115"/>
      <c r="BP492" s="115"/>
    </row>
    <row r="493" spans="50:68" ht="19.5" customHeight="1">
      <c r="AX493" s="544" t="s">
        <v>4746</v>
      </c>
      <c r="AY493" s="114" t="s">
        <v>3413</v>
      </c>
      <c r="AZ493" s="114" t="s">
        <v>4756</v>
      </c>
      <c r="BA493" s="115" t="s">
        <v>4757</v>
      </c>
      <c r="BB493" s="115" t="s">
        <v>3347</v>
      </c>
      <c r="BC493" s="1014" t="s">
        <v>4758</v>
      </c>
      <c r="BD493" s="115"/>
      <c r="BE493" s="115"/>
      <c r="BF493" s="115"/>
      <c r="BG493" s="115"/>
      <c r="BH493" s="115"/>
      <c r="BI493" s="115"/>
      <c r="BJ493" s="115"/>
      <c r="BK493" s="115"/>
      <c r="BL493" s="115"/>
      <c r="BM493" s="115"/>
      <c r="BN493" s="115"/>
      <c r="BO493" s="115"/>
      <c r="BP493" s="115"/>
    </row>
    <row r="494" spans="50:68" ht="19.5" customHeight="1">
      <c r="AX494" s="544" t="s">
        <v>4746</v>
      </c>
      <c r="AY494" s="114" t="s">
        <v>3413</v>
      </c>
      <c r="AZ494" s="114" t="s">
        <v>4759</v>
      </c>
      <c r="BA494" s="115" t="s">
        <v>4760</v>
      </c>
      <c r="BB494" s="115" t="s">
        <v>3346</v>
      </c>
      <c r="BC494" s="1014" t="s">
        <v>4761</v>
      </c>
      <c r="BD494" s="115"/>
      <c r="BE494" s="115"/>
      <c r="BF494" s="115"/>
      <c r="BG494" s="115"/>
      <c r="BH494" s="115"/>
      <c r="BI494" s="115"/>
      <c r="BJ494" s="115"/>
      <c r="BK494" s="115"/>
      <c r="BL494" s="115"/>
      <c r="BM494" s="115"/>
      <c r="BN494" s="115"/>
      <c r="BO494" s="115"/>
      <c r="BP494" s="115"/>
    </row>
    <row r="495" spans="50:68" ht="19.5" customHeight="1">
      <c r="AX495" s="544" t="s">
        <v>4762</v>
      </c>
      <c r="AY495" s="114" t="s">
        <v>4451</v>
      </c>
      <c r="AZ495" s="114" t="s">
        <v>4763</v>
      </c>
      <c r="BA495" s="115" t="s">
        <v>4764</v>
      </c>
      <c r="BB495" s="115" t="s">
        <v>4765</v>
      </c>
      <c r="BC495" s="1014" t="s">
        <v>4766</v>
      </c>
      <c r="BD495" s="115"/>
      <c r="BE495" s="115"/>
      <c r="BF495" s="115"/>
      <c r="BG495" s="115"/>
      <c r="BH495" s="115"/>
      <c r="BI495" s="115"/>
      <c r="BJ495" s="115"/>
      <c r="BK495" s="115"/>
      <c r="BL495" s="115"/>
      <c r="BM495" s="115"/>
      <c r="BN495" s="115"/>
      <c r="BO495" s="115"/>
      <c r="BP495" s="115"/>
    </row>
    <row r="496" spans="50:68" ht="19.5" customHeight="1">
      <c r="AX496" s="544" t="s">
        <v>4762</v>
      </c>
      <c r="AY496" s="114" t="s">
        <v>4451</v>
      </c>
      <c r="AZ496" s="114" t="s">
        <v>4767</v>
      </c>
      <c r="BA496" s="115" t="s">
        <v>4768</v>
      </c>
      <c r="BB496" s="115" t="s">
        <v>4769</v>
      </c>
      <c r="BC496" s="1014" t="s">
        <v>4770</v>
      </c>
      <c r="BD496" s="115"/>
      <c r="BE496" s="115"/>
      <c r="BF496" s="115"/>
      <c r="BG496" s="115"/>
      <c r="BH496" s="115"/>
      <c r="BI496" s="115"/>
      <c r="BJ496" s="115"/>
      <c r="BK496" s="115"/>
      <c r="BL496" s="115"/>
      <c r="BM496" s="115"/>
      <c r="BN496" s="115"/>
      <c r="BO496" s="115"/>
      <c r="BP496" s="115"/>
    </row>
    <row r="497" spans="50:68" ht="19.5" customHeight="1">
      <c r="AX497" s="544" t="s">
        <v>4762</v>
      </c>
      <c r="AY497" s="114" t="s">
        <v>4451</v>
      </c>
      <c r="AZ497" s="114" t="s">
        <v>4771</v>
      </c>
      <c r="BA497" s="115" t="s">
        <v>4772</v>
      </c>
      <c r="BB497" s="115" t="s">
        <v>4097</v>
      </c>
      <c r="BC497" s="1014" t="s">
        <v>991</v>
      </c>
      <c r="BD497" s="115"/>
      <c r="BE497" s="115"/>
      <c r="BF497" s="115"/>
      <c r="BG497" s="115"/>
      <c r="BH497" s="115"/>
      <c r="BI497" s="115"/>
      <c r="BJ497" s="115"/>
      <c r="BK497" s="115"/>
      <c r="BL497" s="115"/>
      <c r="BM497" s="115"/>
      <c r="BN497" s="115"/>
      <c r="BO497" s="115"/>
      <c r="BP497" s="115"/>
    </row>
    <row r="498" spans="50:68" ht="19.5" customHeight="1">
      <c r="AX498" s="544" t="s">
        <v>4762</v>
      </c>
      <c r="AY498" s="114" t="s">
        <v>4451</v>
      </c>
      <c r="AZ498" s="114" t="s">
        <v>4773</v>
      </c>
      <c r="BA498" s="115" t="s">
        <v>4774</v>
      </c>
      <c r="BB498" s="115" t="s">
        <v>798</v>
      </c>
      <c r="BC498" s="1014" t="s">
        <v>4775</v>
      </c>
      <c r="BD498" s="115"/>
      <c r="BE498" s="115"/>
      <c r="BF498" s="115"/>
      <c r="BG498" s="115"/>
      <c r="BH498" s="115"/>
      <c r="BI498" s="115"/>
      <c r="BJ498" s="115"/>
      <c r="BK498" s="115"/>
      <c r="BL498" s="115"/>
      <c r="BM498" s="115"/>
      <c r="BN498" s="115"/>
      <c r="BO498" s="115"/>
      <c r="BP498" s="115"/>
    </row>
    <row r="499" spans="50:68" ht="19.5" customHeight="1">
      <c r="AX499" s="544" t="s">
        <v>4762</v>
      </c>
      <c r="AY499" s="114" t="s">
        <v>4451</v>
      </c>
      <c r="AZ499" s="114" t="s">
        <v>4776</v>
      </c>
      <c r="BA499" s="115" t="s">
        <v>4777</v>
      </c>
      <c r="BB499" s="115" t="s">
        <v>4778</v>
      </c>
      <c r="BC499" s="1014" t="s">
        <v>4779</v>
      </c>
      <c r="BD499" s="115"/>
      <c r="BE499" s="115"/>
      <c r="BF499" s="115"/>
      <c r="BG499" s="115"/>
      <c r="BH499" s="115"/>
      <c r="BI499" s="115"/>
      <c r="BJ499" s="115"/>
      <c r="BK499" s="115"/>
      <c r="BL499" s="115"/>
      <c r="BM499" s="115"/>
      <c r="BN499" s="115"/>
      <c r="BO499" s="115"/>
      <c r="BP499" s="115"/>
    </row>
    <row r="500" spans="50:68" ht="19.5" customHeight="1">
      <c r="AX500" s="544" t="s">
        <v>4762</v>
      </c>
      <c r="AY500" s="114" t="s">
        <v>4451</v>
      </c>
      <c r="AZ500" s="114" t="s">
        <v>4780</v>
      </c>
      <c r="BA500" s="115" t="s">
        <v>1742</v>
      </c>
      <c r="BB500" s="115" t="s">
        <v>4781</v>
      </c>
      <c r="BC500" s="1014" t="s">
        <v>4782</v>
      </c>
      <c r="BD500" s="115"/>
      <c r="BE500" s="115"/>
      <c r="BF500" s="115"/>
      <c r="BG500" s="115"/>
      <c r="BH500" s="115"/>
      <c r="BI500" s="115"/>
      <c r="BJ500" s="115"/>
      <c r="BK500" s="115"/>
      <c r="BL500" s="115"/>
      <c r="BM500" s="115"/>
      <c r="BN500" s="115"/>
      <c r="BO500" s="115"/>
      <c r="BP500" s="115"/>
    </row>
    <row r="501" spans="50:68" ht="19.5" customHeight="1">
      <c r="AX501" s="544" t="s">
        <v>4762</v>
      </c>
      <c r="AY501" s="114" t="s">
        <v>4451</v>
      </c>
      <c r="AZ501" s="114" t="s">
        <v>4783</v>
      </c>
      <c r="BA501" s="115" t="s">
        <v>4784</v>
      </c>
      <c r="BB501" s="115" t="s">
        <v>4785</v>
      </c>
      <c r="BC501" s="1014" t="s">
        <v>4786</v>
      </c>
      <c r="BD501" s="115"/>
      <c r="BE501" s="115"/>
      <c r="BF501" s="115"/>
      <c r="BG501" s="115"/>
      <c r="BH501" s="115"/>
      <c r="BI501" s="115"/>
      <c r="BJ501" s="115"/>
      <c r="BK501" s="115"/>
      <c r="BL501" s="115"/>
      <c r="BM501" s="115"/>
      <c r="BN501" s="115"/>
      <c r="BO501" s="115"/>
      <c r="BP501" s="115"/>
    </row>
    <row r="502" spans="50:68" ht="19.5" customHeight="1">
      <c r="AX502" s="544" t="s">
        <v>4762</v>
      </c>
      <c r="AY502" s="114" t="s">
        <v>4451</v>
      </c>
      <c r="AZ502" s="114" t="s">
        <v>4787</v>
      </c>
      <c r="BA502" s="115" t="s">
        <v>1682</v>
      </c>
      <c r="BB502" s="115" t="s">
        <v>4788</v>
      </c>
      <c r="BC502" s="1014" t="s">
        <v>4789</v>
      </c>
      <c r="BD502" s="115"/>
      <c r="BE502" s="115"/>
      <c r="BF502" s="115"/>
      <c r="BG502" s="115"/>
      <c r="BH502" s="115"/>
      <c r="BI502" s="115"/>
      <c r="BJ502" s="115"/>
      <c r="BK502" s="115"/>
      <c r="BL502" s="115"/>
      <c r="BM502" s="115"/>
      <c r="BN502" s="115"/>
      <c r="BO502" s="115"/>
      <c r="BP502" s="115"/>
    </row>
    <row r="503" spans="50:68" ht="19.5" customHeight="1">
      <c r="AX503" s="544" t="s">
        <v>4762</v>
      </c>
      <c r="AY503" s="114" t="s">
        <v>4451</v>
      </c>
      <c r="AZ503" s="114" t="s">
        <v>4790</v>
      </c>
      <c r="BA503" s="115" t="s">
        <v>4791</v>
      </c>
      <c r="BB503" s="115" t="s">
        <v>4792</v>
      </c>
      <c r="BC503" s="1014" t="s">
        <v>4793</v>
      </c>
      <c r="BD503" s="115"/>
      <c r="BE503" s="115"/>
      <c r="BF503" s="115"/>
      <c r="BG503" s="115"/>
      <c r="BH503" s="115"/>
      <c r="BI503" s="115"/>
      <c r="BJ503" s="115"/>
      <c r="BK503" s="115"/>
      <c r="BL503" s="115"/>
      <c r="BM503" s="115"/>
      <c r="BN503" s="115"/>
      <c r="BO503" s="115"/>
      <c r="BP503" s="115"/>
    </row>
    <row r="504" spans="50:68" ht="19.5" customHeight="1">
      <c r="AX504" s="544" t="s">
        <v>4794</v>
      </c>
      <c r="AY504" s="114" t="s">
        <v>4452</v>
      </c>
      <c r="AZ504" s="114" t="s">
        <v>4795</v>
      </c>
      <c r="BA504" s="115" t="s">
        <v>4796</v>
      </c>
      <c r="BB504" s="115" t="s">
        <v>3326</v>
      </c>
      <c r="BC504" s="1014" t="s">
        <v>4665</v>
      </c>
      <c r="BD504" s="115"/>
      <c r="BE504" s="115"/>
      <c r="BF504" s="115"/>
      <c r="BG504" s="115"/>
      <c r="BH504" s="115"/>
      <c r="BI504" s="115"/>
      <c r="BJ504" s="115"/>
      <c r="BK504" s="115"/>
      <c r="BL504" s="115"/>
      <c r="BM504" s="115"/>
      <c r="BN504" s="115"/>
      <c r="BO504" s="115"/>
      <c r="BP504" s="115"/>
    </row>
    <row r="505" spans="50:68" ht="19.5" customHeight="1">
      <c r="AX505" s="544" t="s">
        <v>4794</v>
      </c>
      <c r="AY505" s="114" t="s">
        <v>4452</v>
      </c>
      <c r="AZ505" s="114" t="s">
        <v>4797</v>
      </c>
      <c r="BA505" s="115" t="s">
        <v>4798</v>
      </c>
      <c r="BB505" s="115" t="s">
        <v>4097</v>
      </c>
      <c r="BC505" s="1014" t="s">
        <v>991</v>
      </c>
      <c r="BD505" s="115"/>
      <c r="BE505" s="115"/>
      <c r="BF505" s="115"/>
      <c r="BG505" s="115"/>
      <c r="BH505" s="115"/>
      <c r="BI505" s="115"/>
      <c r="BJ505" s="115"/>
      <c r="BK505" s="115"/>
      <c r="BL505" s="115"/>
      <c r="BM505" s="115"/>
      <c r="BN505" s="115"/>
      <c r="BO505" s="115"/>
      <c r="BP505" s="115"/>
    </row>
    <row r="506" spans="50:68" ht="19.5" customHeight="1">
      <c r="AX506" s="544" t="s">
        <v>4794</v>
      </c>
      <c r="AY506" s="114" t="s">
        <v>4452</v>
      </c>
      <c r="AZ506" s="114" t="s">
        <v>4799</v>
      </c>
      <c r="BA506" s="115" t="s">
        <v>4800</v>
      </c>
      <c r="BB506" s="115" t="s">
        <v>4097</v>
      </c>
      <c r="BC506" s="1014" t="s">
        <v>991</v>
      </c>
      <c r="BD506" s="115"/>
      <c r="BE506" s="115"/>
      <c r="BF506" s="115"/>
      <c r="BG506" s="115"/>
      <c r="BH506" s="115"/>
      <c r="BI506" s="115"/>
      <c r="BJ506" s="115"/>
      <c r="BK506" s="115"/>
      <c r="BL506" s="115"/>
      <c r="BM506" s="115"/>
      <c r="BN506" s="115"/>
      <c r="BO506" s="115"/>
      <c r="BP506" s="115"/>
    </row>
    <row r="507" spans="50:68" ht="19.5" customHeight="1">
      <c r="AX507" s="544" t="s">
        <v>4794</v>
      </c>
      <c r="AY507" s="114" t="s">
        <v>4452</v>
      </c>
      <c r="AZ507" s="114" t="s">
        <v>4801</v>
      </c>
      <c r="BA507" s="115" t="s">
        <v>4802</v>
      </c>
      <c r="BB507" s="115" t="s">
        <v>4097</v>
      </c>
      <c r="BC507" s="1014" t="s">
        <v>991</v>
      </c>
      <c r="BD507" s="115"/>
      <c r="BE507" s="115"/>
      <c r="BF507" s="115"/>
      <c r="BG507" s="115"/>
      <c r="BH507" s="115"/>
      <c r="BI507" s="115"/>
      <c r="BJ507" s="115"/>
      <c r="BK507" s="115"/>
      <c r="BL507" s="115"/>
      <c r="BM507" s="115"/>
      <c r="BN507" s="115"/>
      <c r="BO507" s="115"/>
      <c r="BP507" s="115"/>
    </row>
    <row r="508" spans="50:68" ht="19.5" customHeight="1">
      <c r="AX508" s="544" t="s">
        <v>4794</v>
      </c>
      <c r="AY508" s="114" t="s">
        <v>4452</v>
      </c>
      <c r="AZ508" s="114" t="s">
        <v>4803</v>
      </c>
      <c r="BA508" s="115" t="s">
        <v>4804</v>
      </c>
      <c r="BB508" s="115" t="s">
        <v>803</v>
      </c>
      <c r="BC508" s="1014" t="s">
        <v>4805</v>
      </c>
      <c r="BD508" s="115"/>
      <c r="BE508" s="115"/>
      <c r="BF508" s="115"/>
      <c r="BG508" s="115"/>
      <c r="BH508" s="115"/>
      <c r="BI508" s="115"/>
      <c r="BJ508" s="115"/>
      <c r="BK508" s="115"/>
      <c r="BL508" s="115"/>
      <c r="BM508" s="115"/>
      <c r="BN508" s="115"/>
      <c r="BO508" s="115"/>
      <c r="BP508" s="115"/>
    </row>
    <row r="509" spans="50:68" ht="19.5" customHeight="1">
      <c r="AX509" s="544" t="s">
        <v>4794</v>
      </c>
      <c r="AY509" s="114" t="s">
        <v>4452</v>
      </c>
      <c r="AZ509" s="114" t="s">
        <v>4806</v>
      </c>
      <c r="BA509" s="115" t="s">
        <v>4807</v>
      </c>
      <c r="BB509" s="115" t="s">
        <v>4097</v>
      </c>
      <c r="BC509" s="1014" t="s">
        <v>991</v>
      </c>
      <c r="BD509" s="115"/>
      <c r="BE509" s="115"/>
      <c r="BF509" s="115"/>
      <c r="BG509" s="115"/>
      <c r="BH509" s="115"/>
      <c r="BI509" s="115"/>
      <c r="BJ509" s="115"/>
      <c r="BK509" s="115"/>
      <c r="BL509" s="115"/>
      <c r="BM509" s="115"/>
      <c r="BN509" s="115"/>
      <c r="BO509" s="115"/>
      <c r="BP509" s="115"/>
    </row>
    <row r="510" spans="50:68" ht="19.5" customHeight="1">
      <c r="AX510" s="544" t="s">
        <v>4808</v>
      </c>
      <c r="AY510" s="114" t="s">
        <v>4453</v>
      </c>
      <c r="AZ510" s="114" t="s">
        <v>4809</v>
      </c>
      <c r="BA510" s="115" t="s">
        <v>4810</v>
      </c>
      <c r="BB510" s="115" t="s">
        <v>4811</v>
      </c>
      <c r="BC510" s="1014" t="s">
        <v>4812</v>
      </c>
      <c r="BD510" s="115"/>
      <c r="BE510" s="115"/>
      <c r="BF510" s="115"/>
      <c r="BG510" s="115"/>
      <c r="BH510" s="115"/>
      <c r="BI510" s="115"/>
      <c r="BJ510" s="115"/>
      <c r="BK510" s="115"/>
      <c r="BL510" s="115"/>
      <c r="BM510" s="115"/>
      <c r="BN510" s="115"/>
      <c r="BO510" s="115"/>
      <c r="BP510" s="115"/>
    </row>
    <row r="511" spans="50:68" ht="19.5" customHeight="1">
      <c r="AX511" s="544" t="s">
        <v>4808</v>
      </c>
      <c r="AY511" s="114" t="s">
        <v>4453</v>
      </c>
      <c r="AZ511" s="114" t="s">
        <v>4813</v>
      </c>
      <c r="BA511" s="115" t="s">
        <v>4814</v>
      </c>
      <c r="BB511" s="115" t="s">
        <v>4815</v>
      </c>
      <c r="BC511" s="1014" t="s">
        <v>4816</v>
      </c>
      <c r="BD511" s="115"/>
      <c r="BE511" s="115"/>
      <c r="BF511" s="115"/>
      <c r="BG511" s="115"/>
      <c r="BH511" s="115"/>
      <c r="BI511" s="115"/>
      <c r="BJ511" s="115"/>
      <c r="BK511" s="115"/>
      <c r="BL511" s="115"/>
      <c r="BM511" s="115"/>
      <c r="BN511" s="115"/>
      <c r="BO511" s="115"/>
      <c r="BP511" s="115"/>
    </row>
    <row r="512" spans="50:68" ht="19.5" customHeight="1">
      <c r="AX512" s="544" t="s">
        <v>4808</v>
      </c>
      <c r="AY512" s="114" t="s">
        <v>4453</v>
      </c>
      <c r="AZ512" s="114" t="s">
        <v>4817</v>
      </c>
      <c r="BA512" s="115" t="s">
        <v>4818</v>
      </c>
      <c r="BB512" s="115" t="s">
        <v>4097</v>
      </c>
      <c r="BC512" s="1014" t="s">
        <v>991</v>
      </c>
      <c r="BD512" s="115"/>
      <c r="BE512" s="115"/>
      <c r="BF512" s="115"/>
      <c r="BG512" s="115"/>
      <c r="BH512" s="115"/>
      <c r="BI512" s="115"/>
      <c r="BJ512" s="115"/>
      <c r="BK512" s="115"/>
      <c r="BL512" s="115"/>
      <c r="BM512" s="115"/>
      <c r="BN512" s="115"/>
      <c r="BO512" s="115"/>
      <c r="BP512" s="115"/>
    </row>
    <row r="513" spans="50:68" ht="19.5" customHeight="1">
      <c r="AX513" s="544" t="s">
        <v>4808</v>
      </c>
      <c r="AY513" s="114" t="s">
        <v>4453</v>
      </c>
      <c r="AZ513" s="114" t="s">
        <v>4819</v>
      </c>
      <c r="BA513" s="115" t="s">
        <v>4820</v>
      </c>
      <c r="BB513" s="115" t="s">
        <v>4097</v>
      </c>
      <c r="BC513" s="1014" t="s">
        <v>991</v>
      </c>
      <c r="BD513" s="115"/>
      <c r="BE513" s="115"/>
      <c r="BF513" s="115"/>
      <c r="BG513" s="115"/>
      <c r="BH513" s="115"/>
      <c r="BI513" s="115"/>
      <c r="BJ513" s="115"/>
      <c r="BK513" s="115"/>
      <c r="BL513" s="115"/>
      <c r="BM513" s="115"/>
      <c r="BN513" s="115"/>
      <c r="BO513" s="115"/>
      <c r="BP513" s="115"/>
    </row>
    <row r="514" spans="50:68" ht="19.5" customHeight="1">
      <c r="AX514" s="544" t="s">
        <v>4821</v>
      </c>
      <c r="AY514" s="114" t="s">
        <v>4454</v>
      </c>
      <c r="AZ514" s="114" t="s">
        <v>4822</v>
      </c>
      <c r="BA514" s="115" t="s">
        <v>4823</v>
      </c>
      <c r="BB514" s="115" t="s">
        <v>1258</v>
      </c>
      <c r="BC514" s="1014" t="s">
        <v>4824</v>
      </c>
      <c r="BD514" s="115"/>
      <c r="BE514" s="115"/>
      <c r="BF514" s="115"/>
      <c r="BG514" s="115"/>
      <c r="BH514" s="115"/>
      <c r="BI514" s="115"/>
      <c r="BJ514" s="115"/>
      <c r="BK514" s="115"/>
      <c r="BL514" s="115"/>
      <c r="BM514" s="115"/>
      <c r="BN514" s="115"/>
      <c r="BO514" s="115"/>
      <c r="BP514" s="115"/>
    </row>
    <row r="515" spans="50:68" ht="19.5" customHeight="1">
      <c r="AX515" s="544" t="s">
        <v>4821</v>
      </c>
      <c r="AY515" s="114" t="s">
        <v>4454</v>
      </c>
      <c r="AZ515" s="114" t="s">
        <v>4825</v>
      </c>
      <c r="BA515" s="115" t="s">
        <v>4826</v>
      </c>
      <c r="BB515" s="115" t="s">
        <v>3333</v>
      </c>
      <c r="BC515" s="1014" t="s">
        <v>4827</v>
      </c>
      <c r="BD515" s="115"/>
      <c r="BE515" s="115"/>
      <c r="BF515" s="115"/>
      <c r="BG515" s="115"/>
      <c r="BH515" s="115"/>
      <c r="BI515" s="115"/>
      <c r="BJ515" s="115"/>
      <c r="BK515" s="115"/>
      <c r="BL515" s="115"/>
      <c r="BM515" s="115"/>
      <c r="BN515" s="115"/>
      <c r="BO515" s="115"/>
      <c r="BP515" s="115"/>
    </row>
    <row r="516" spans="50:68" ht="19.5" customHeight="1">
      <c r="AX516" s="544" t="s">
        <v>4821</v>
      </c>
      <c r="AY516" s="114" t="s">
        <v>4454</v>
      </c>
      <c r="AZ516" s="114" t="s">
        <v>4828</v>
      </c>
      <c r="BA516" s="115" t="s">
        <v>4829</v>
      </c>
      <c r="BB516" s="115" t="s">
        <v>4830</v>
      </c>
      <c r="BC516" s="1014" t="s">
        <v>4831</v>
      </c>
      <c r="BD516" s="115"/>
      <c r="BE516" s="115"/>
      <c r="BF516" s="115"/>
      <c r="BG516" s="115"/>
      <c r="BH516" s="115"/>
      <c r="BI516" s="115"/>
      <c r="BJ516" s="115"/>
      <c r="BK516" s="115"/>
      <c r="BL516" s="115"/>
      <c r="BM516" s="115"/>
      <c r="BN516" s="115"/>
      <c r="BO516" s="115"/>
      <c r="BP516" s="115"/>
    </row>
    <row r="517" spans="50:68" ht="19.5" customHeight="1">
      <c r="AX517" s="544" t="s">
        <v>4821</v>
      </c>
      <c r="AY517" s="114" t="s">
        <v>4454</v>
      </c>
      <c r="AZ517" s="114" t="s">
        <v>4832</v>
      </c>
      <c r="BA517" s="115" t="s">
        <v>4833</v>
      </c>
      <c r="BB517" s="115" t="s">
        <v>4834</v>
      </c>
      <c r="BC517" s="1014" t="s">
        <v>4835</v>
      </c>
      <c r="BD517" s="115"/>
      <c r="BE517" s="115"/>
      <c r="BF517" s="115"/>
      <c r="BG517" s="115"/>
      <c r="BH517" s="115"/>
      <c r="BI517" s="115"/>
      <c r="BJ517" s="115"/>
      <c r="BK517" s="115"/>
      <c r="BL517" s="115"/>
      <c r="BM517" s="115"/>
      <c r="BN517" s="115"/>
      <c r="BO517" s="115"/>
      <c r="BP517" s="115"/>
    </row>
    <row r="518" spans="50:68" ht="19.5" customHeight="1">
      <c r="AX518" s="544" t="s">
        <v>4821</v>
      </c>
      <c r="AY518" s="114" t="s">
        <v>4454</v>
      </c>
      <c r="AZ518" s="114" t="s">
        <v>4836</v>
      </c>
      <c r="BA518" s="115" t="s">
        <v>4837</v>
      </c>
      <c r="BB518" s="115" t="s">
        <v>1258</v>
      </c>
      <c r="BC518" s="1014" t="s">
        <v>4838</v>
      </c>
      <c r="BD518" s="115"/>
      <c r="BE518" s="115"/>
      <c r="BF518" s="115"/>
      <c r="BG518" s="115"/>
      <c r="BH518" s="115"/>
      <c r="BI518" s="115"/>
      <c r="BJ518" s="115"/>
      <c r="BK518" s="115"/>
      <c r="BL518" s="115"/>
      <c r="BM518" s="115"/>
      <c r="BN518" s="115"/>
      <c r="BO518" s="115"/>
      <c r="BP518" s="115"/>
    </row>
    <row r="519" spans="50:68" ht="19.5" customHeight="1">
      <c r="AX519" s="637" t="s">
        <v>4821</v>
      </c>
      <c r="AY519" s="1015" t="s">
        <v>4454</v>
      </c>
      <c r="AZ519" s="1015" t="s">
        <v>4839</v>
      </c>
      <c r="BA519" s="641" t="s">
        <v>4840</v>
      </c>
      <c r="BB519" s="641" t="s">
        <v>803</v>
      </c>
      <c r="BC519" s="1016" t="s">
        <v>4805</v>
      </c>
      <c r="BD519" s="115"/>
      <c r="BE519" s="115"/>
      <c r="BF519" s="115"/>
      <c r="BG519" s="115"/>
      <c r="BH519" s="115"/>
      <c r="BI519" s="115"/>
      <c r="BJ519" s="115"/>
      <c r="BK519" s="115"/>
      <c r="BL519" s="115"/>
      <c r="BM519" s="115"/>
      <c r="BN519" s="115"/>
      <c r="BO519" s="115"/>
      <c r="BP519" s="115"/>
    </row>
    <row r="520" spans="50:68" ht="19.5" customHeight="1">
      <c r="AX520" s="114" t="s">
        <v>5130</v>
      </c>
      <c r="AY520" s="114" t="s">
        <v>5131</v>
      </c>
      <c r="AZ520" s="114" t="s">
        <v>5132</v>
      </c>
      <c r="BA520" s="115" t="s">
        <v>5133</v>
      </c>
      <c r="BB520" s="115" t="s">
        <v>5134</v>
      </c>
      <c r="BC520" s="115" t="s">
        <v>5135</v>
      </c>
      <c r="BD520" s="115" t="s">
        <v>5136</v>
      </c>
      <c r="BE520" s="115" t="s">
        <v>5137</v>
      </c>
      <c r="BF520" s="115" t="s">
        <v>5138</v>
      </c>
      <c r="BG520" s="115" t="s">
        <v>5139</v>
      </c>
      <c r="BH520" s="115" t="s">
        <v>5140</v>
      </c>
      <c r="BI520" s="115" t="s">
        <v>5141</v>
      </c>
      <c r="BJ520" s="115" t="s">
        <v>5142</v>
      </c>
      <c r="BK520" s="115" t="s">
        <v>5143</v>
      </c>
      <c r="BL520" s="115" t="s">
        <v>5144</v>
      </c>
      <c r="BM520" s="115" t="s">
        <v>5145</v>
      </c>
      <c r="BN520" s="115" t="s">
        <v>5146</v>
      </c>
    </row>
    <row r="521" spans="50:68" ht="19.5" customHeight="1">
      <c r="AX521" s="114" t="s">
        <v>5147</v>
      </c>
      <c r="AY521" s="114"/>
      <c r="AZ521" s="114"/>
      <c r="BA521" s="115"/>
      <c r="BB521" s="115"/>
      <c r="BC521" s="115"/>
      <c r="BD521" s="115"/>
      <c r="BE521" s="115"/>
      <c r="BF521" s="115"/>
      <c r="BG521" s="115"/>
      <c r="BH521" s="115"/>
      <c r="BI521" s="115"/>
      <c r="BJ521" s="115"/>
      <c r="BK521" s="115"/>
      <c r="BL521" s="115"/>
      <c r="BM521" s="115"/>
      <c r="BN521" s="115"/>
    </row>
    <row r="522" spans="50:68" ht="19.5" customHeight="1">
      <c r="AX522" s="791" t="s">
        <v>5148</v>
      </c>
      <c r="AY522" s="791" t="s">
        <v>5149</v>
      </c>
      <c r="AZ522" s="791" t="s">
        <v>5150</v>
      </c>
      <c r="BA522" s="793" t="s">
        <v>5151</v>
      </c>
      <c r="BB522" s="793" t="s">
        <v>5152</v>
      </c>
      <c r="BC522" s="793" t="s">
        <v>5153</v>
      </c>
      <c r="BD522" s="793" t="s">
        <v>5154</v>
      </c>
      <c r="BE522" s="793" t="s">
        <v>5155</v>
      </c>
      <c r="BF522" s="793" t="s">
        <v>5156</v>
      </c>
      <c r="BG522" s="793" t="s">
        <v>5157</v>
      </c>
      <c r="BH522" s="793" t="s">
        <v>5158</v>
      </c>
      <c r="BI522" s="793" t="s">
        <v>5159</v>
      </c>
      <c r="BJ522" s="793" t="s">
        <v>5160</v>
      </c>
      <c r="BK522" s="793" t="s">
        <v>5161</v>
      </c>
      <c r="BL522" s="793" t="s">
        <v>5162</v>
      </c>
      <c r="BM522" s="793" t="s">
        <v>5163</v>
      </c>
      <c r="BN522" s="793" t="s">
        <v>1891</v>
      </c>
    </row>
    <row r="523" spans="50:68" ht="19.5" customHeight="1">
      <c r="AX523" s="796" t="s">
        <v>3660</v>
      </c>
      <c r="AY523" s="788" t="s">
        <v>3660</v>
      </c>
      <c r="AZ523" s="796" t="s">
        <v>3660</v>
      </c>
      <c r="BA523" s="792" t="s">
        <v>3660</v>
      </c>
      <c r="BB523" s="792" t="s">
        <v>3660</v>
      </c>
      <c r="BC523" s="792" t="s">
        <v>3660</v>
      </c>
      <c r="BD523" s="868" t="s">
        <v>3660</v>
      </c>
      <c r="BE523" s="868" t="s">
        <v>3660</v>
      </c>
      <c r="BF523" s="868" t="s">
        <v>3660</v>
      </c>
      <c r="BG523" s="868" t="s">
        <v>3660</v>
      </c>
      <c r="BH523" s="868" t="s">
        <v>3660</v>
      </c>
      <c r="BI523" s="792" t="s">
        <v>3660</v>
      </c>
      <c r="BJ523" s="792" t="s">
        <v>3660</v>
      </c>
      <c r="BK523" s="868" t="s">
        <v>3660</v>
      </c>
      <c r="BL523" s="792" t="s">
        <v>3660</v>
      </c>
      <c r="BM523" s="792" t="s">
        <v>3660</v>
      </c>
      <c r="BN523" s="1017" t="s">
        <v>3660</v>
      </c>
    </row>
    <row r="524" spans="50:68" ht="19.5" customHeight="1">
      <c r="AX524" s="544" t="s">
        <v>5164</v>
      </c>
      <c r="AY524" s="542" t="s">
        <v>5165</v>
      </c>
      <c r="AZ524" s="544" t="s">
        <v>5166</v>
      </c>
      <c r="BA524" s="547" t="s">
        <v>5167</v>
      </c>
      <c r="BB524" s="547" t="s">
        <v>5168</v>
      </c>
      <c r="BC524" s="547" t="s">
        <v>5169</v>
      </c>
      <c r="BD524" s="546" t="s">
        <v>5170</v>
      </c>
      <c r="BE524" s="546" t="s">
        <v>5171</v>
      </c>
      <c r="BF524" s="546" t="s">
        <v>5172</v>
      </c>
      <c r="BG524" s="546" t="s">
        <v>5173</v>
      </c>
      <c r="BH524" s="546" t="s">
        <v>5174</v>
      </c>
      <c r="BI524" s="547" t="s">
        <v>5175</v>
      </c>
      <c r="BJ524" s="547" t="s">
        <v>5176</v>
      </c>
      <c r="BK524" s="546" t="s">
        <v>5177</v>
      </c>
      <c r="BL524" s="547" t="s">
        <v>5178</v>
      </c>
      <c r="BM524" s="547" t="s">
        <v>5179</v>
      </c>
      <c r="BN524" s="115"/>
    </row>
    <row r="525" spans="50:68" ht="19.5" customHeight="1">
      <c r="AX525" s="544" t="s">
        <v>5180</v>
      </c>
      <c r="AY525" s="542" t="s">
        <v>5181</v>
      </c>
      <c r="AZ525" s="544" t="s">
        <v>5182</v>
      </c>
      <c r="BA525" s="547" t="s">
        <v>5183</v>
      </c>
      <c r="BB525" s="547" t="s">
        <v>5184</v>
      </c>
      <c r="BC525" s="547" t="s">
        <v>5185</v>
      </c>
      <c r="BD525" s="546" t="s">
        <v>5186</v>
      </c>
      <c r="BE525" s="546" t="s">
        <v>5187</v>
      </c>
      <c r="BF525" s="546" t="s">
        <v>5188</v>
      </c>
      <c r="BG525" s="546" t="s">
        <v>5189</v>
      </c>
      <c r="BH525" s="546" t="s">
        <v>5190</v>
      </c>
      <c r="BI525" s="547" t="s">
        <v>5191</v>
      </c>
      <c r="BJ525" s="547" t="s">
        <v>5192</v>
      </c>
      <c r="BK525" s="546" t="s">
        <v>5193</v>
      </c>
      <c r="BL525" s="547" t="s">
        <v>5194</v>
      </c>
      <c r="BM525" s="547" t="s">
        <v>5195</v>
      </c>
      <c r="BN525" s="115"/>
    </row>
    <row r="526" spans="50:68" ht="19.5" customHeight="1">
      <c r="AX526" s="544" t="s">
        <v>5196</v>
      </c>
      <c r="AY526" s="542" t="s">
        <v>5197</v>
      </c>
      <c r="AZ526" s="544" t="s">
        <v>5198</v>
      </c>
      <c r="BA526" s="547" t="s">
        <v>5199</v>
      </c>
      <c r="BB526" s="547" t="s">
        <v>5200</v>
      </c>
      <c r="BC526" s="547" t="s">
        <v>5201</v>
      </c>
      <c r="BD526" s="546" t="s">
        <v>5202</v>
      </c>
      <c r="BE526" s="546" t="s">
        <v>5203</v>
      </c>
      <c r="BF526" s="546" t="s">
        <v>5204</v>
      </c>
      <c r="BG526" s="546" t="s">
        <v>5205</v>
      </c>
      <c r="BH526" s="546" t="s">
        <v>5206</v>
      </c>
      <c r="BI526" s="547" t="s">
        <v>5207</v>
      </c>
      <c r="BJ526" s="547" t="s">
        <v>5208</v>
      </c>
      <c r="BK526" s="546" t="s">
        <v>5209</v>
      </c>
      <c r="BL526" s="547" t="s">
        <v>5210</v>
      </c>
      <c r="BM526" s="547" t="s">
        <v>5211</v>
      </c>
      <c r="BN526" s="115"/>
    </row>
    <row r="527" spans="50:68" ht="19.5" customHeight="1">
      <c r="AX527" s="544" t="s">
        <v>5212</v>
      </c>
      <c r="AY527" s="542" t="s">
        <v>5213</v>
      </c>
      <c r="AZ527" s="544" t="s">
        <v>5214</v>
      </c>
      <c r="BA527" s="547" t="s">
        <v>5215</v>
      </c>
      <c r="BB527" s="547" t="s">
        <v>5216</v>
      </c>
      <c r="BC527" s="547" t="s">
        <v>5217</v>
      </c>
      <c r="BD527" s="546" t="s">
        <v>5218</v>
      </c>
      <c r="BE527" s="546" t="s">
        <v>5219</v>
      </c>
      <c r="BF527" s="546" t="s">
        <v>5220</v>
      </c>
      <c r="BG527" s="546" t="s">
        <v>5221</v>
      </c>
      <c r="BH527" s="546" t="s">
        <v>5222</v>
      </c>
      <c r="BI527" s="547" t="s">
        <v>5223</v>
      </c>
      <c r="BJ527" s="547" t="s">
        <v>5224</v>
      </c>
      <c r="BK527" s="546" t="s">
        <v>5225</v>
      </c>
      <c r="BL527" s="547" t="s">
        <v>5226</v>
      </c>
      <c r="BM527" s="547" t="s">
        <v>5227</v>
      </c>
      <c r="BN527" s="115"/>
    </row>
    <row r="528" spans="50:68" ht="19.5" customHeight="1">
      <c r="AX528" s="544" t="s">
        <v>5228</v>
      </c>
      <c r="AY528" s="542" t="s">
        <v>5229</v>
      </c>
      <c r="AZ528" s="544" t="s">
        <v>5230</v>
      </c>
      <c r="BA528" s="547" t="s">
        <v>5231</v>
      </c>
      <c r="BB528" s="547" t="s">
        <v>5232</v>
      </c>
      <c r="BC528" s="547" t="s">
        <v>5233</v>
      </c>
      <c r="BD528" s="548" t="s">
        <v>5234</v>
      </c>
      <c r="BE528" s="546" t="s">
        <v>5235</v>
      </c>
      <c r="BF528" s="546" t="s">
        <v>5236</v>
      </c>
      <c r="BG528" s="546" t="s">
        <v>5237</v>
      </c>
      <c r="BH528" s="546" t="s">
        <v>5238</v>
      </c>
      <c r="BI528" s="547" t="s">
        <v>5239</v>
      </c>
      <c r="BJ528" s="547" t="s">
        <v>5240</v>
      </c>
      <c r="BK528" s="546" t="s">
        <v>5241</v>
      </c>
      <c r="BL528" s="547" t="s">
        <v>5242</v>
      </c>
      <c r="BM528" s="549" t="s">
        <v>5243</v>
      </c>
      <c r="BN528" s="115"/>
    </row>
    <row r="529" spans="50:66" ht="19.5" customHeight="1">
      <c r="AX529" s="544" t="s">
        <v>5244</v>
      </c>
      <c r="AY529" s="542" t="s">
        <v>5245</v>
      </c>
      <c r="AZ529" s="544" t="s">
        <v>5246</v>
      </c>
      <c r="BA529" s="547" t="s">
        <v>5247</v>
      </c>
      <c r="BB529" s="547" t="s">
        <v>5248</v>
      </c>
      <c r="BC529" s="547" t="s">
        <v>5249</v>
      </c>
      <c r="BD529" s="115"/>
      <c r="BE529" s="546" t="s">
        <v>5250</v>
      </c>
      <c r="BF529" s="546" t="s">
        <v>5251</v>
      </c>
      <c r="BG529" s="546" t="s">
        <v>5252</v>
      </c>
      <c r="BH529" s="546" t="s">
        <v>5253</v>
      </c>
      <c r="BI529" s="547" t="s">
        <v>5254</v>
      </c>
      <c r="BJ529" s="547" t="s">
        <v>5255</v>
      </c>
      <c r="BK529" s="546" t="s">
        <v>5256</v>
      </c>
      <c r="BL529" s="547" t="s">
        <v>5257</v>
      </c>
      <c r="BM529" s="115"/>
      <c r="BN529" s="115"/>
    </row>
    <row r="530" spans="50:66" ht="19.5" customHeight="1">
      <c r="AX530" s="544" t="s">
        <v>5258</v>
      </c>
      <c r="AY530" s="542" t="s">
        <v>5259</v>
      </c>
      <c r="AZ530" s="544" t="s">
        <v>5260</v>
      </c>
      <c r="BA530" s="547" t="s">
        <v>5261</v>
      </c>
      <c r="BB530" s="547" t="s">
        <v>5262</v>
      </c>
      <c r="BC530" s="547" t="s">
        <v>5263</v>
      </c>
      <c r="BD530" s="115"/>
      <c r="BE530" s="546" t="s">
        <v>5264</v>
      </c>
      <c r="BF530" s="546" t="s">
        <v>5265</v>
      </c>
      <c r="BG530" s="546" t="s">
        <v>5266</v>
      </c>
      <c r="BH530" s="546" t="s">
        <v>5267</v>
      </c>
      <c r="BI530" s="547" t="s">
        <v>5268</v>
      </c>
      <c r="BJ530" s="547" t="s">
        <v>5269</v>
      </c>
      <c r="BK530" s="546" t="s">
        <v>5270</v>
      </c>
      <c r="BL530" s="547" t="s">
        <v>5271</v>
      </c>
      <c r="BM530" s="115"/>
      <c r="BN530" s="115"/>
    </row>
    <row r="531" spans="50:66" ht="19.5" customHeight="1">
      <c r="AX531" s="544" t="s">
        <v>5272</v>
      </c>
      <c r="AY531" s="542" t="s">
        <v>5273</v>
      </c>
      <c r="AZ531" s="637" t="s">
        <v>5274</v>
      </c>
      <c r="BA531" s="547" t="s">
        <v>5275</v>
      </c>
      <c r="BB531" s="547" t="s">
        <v>5276</v>
      </c>
      <c r="BC531" s="549" t="s">
        <v>5277</v>
      </c>
      <c r="BD531" s="115"/>
      <c r="BE531" s="546" t="s">
        <v>5278</v>
      </c>
      <c r="BF531" s="546" t="s">
        <v>5279</v>
      </c>
      <c r="BG531" s="546" t="s">
        <v>5280</v>
      </c>
      <c r="BH531" s="546" t="s">
        <v>5281</v>
      </c>
      <c r="BI531" s="547" t="s">
        <v>5282</v>
      </c>
      <c r="BJ531" s="547" t="s">
        <v>5283</v>
      </c>
      <c r="BK531" s="546" t="s">
        <v>5284</v>
      </c>
      <c r="BL531" s="547" t="s">
        <v>5285</v>
      </c>
      <c r="BM531" s="115"/>
      <c r="BN531" s="115"/>
    </row>
    <row r="532" spans="50:66" ht="19.5" customHeight="1">
      <c r="AX532" s="544" t="s">
        <v>5286</v>
      </c>
      <c r="AY532" s="542" t="s">
        <v>5287</v>
      </c>
      <c r="AZ532" s="114"/>
      <c r="BA532" s="547" t="s">
        <v>5288</v>
      </c>
      <c r="BB532" s="547" t="s">
        <v>5289</v>
      </c>
      <c r="BC532" s="115"/>
      <c r="BD532" s="115"/>
      <c r="BE532" s="546" t="s">
        <v>5290</v>
      </c>
      <c r="BF532" s="546" t="s">
        <v>5291</v>
      </c>
      <c r="BG532" s="546" t="s">
        <v>5292</v>
      </c>
      <c r="BH532" s="546" t="s">
        <v>5293</v>
      </c>
      <c r="BI532" s="547" t="s">
        <v>5294</v>
      </c>
      <c r="BJ532" s="547" t="s">
        <v>5295</v>
      </c>
      <c r="BK532" s="546" t="s">
        <v>5296</v>
      </c>
      <c r="BL532" s="547" t="s">
        <v>5297</v>
      </c>
      <c r="BM532" s="115"/>
      <c r="BN532" s="115"/>
    </row>
    <row r="533" spans="50:66" ht="19.5" customHeight="1">
      <c r="AX533" s="544" t="s">
        <v>5298</v>
      </c>
      <c r="AY533" s="542" t="s">
        <v>5299</v>
      </c>
      <c r="AZ533" s="114"/>
      <c r="BA533" s="547" t="s">
        <v>5300</v>
      </c>
      <c r="BB533" s="547" t="s">
        <v>5301</v>
      </c>
      <c r="BC533" s="115"/>
      <c r="BD533" s="115"/>
      <c r="BE533" s="548" t="s">
        <v>5302</v>
      </c>
      <c r="BF533" s="546" t="s">
        <v>5303</v>
      </c>
      <c r="BG533" s="546" t="s">
        <v>5304</v>
      </c>
      <c r="BH533" s="546" t="s">
        <v>5305</v>
      </c>
      <c r="BI533" s="547" t="s">
        <v>5306</v>
      </c>
      <c r="BJ533" s="547" t="s">
        <v>5307</v>
      </c>
      <c r="BK533" s="546" t="s">
        <v>5308</v>
      </c>
      <c r="BL533" s="547" t="s">
        <v>5309</v>
      </c>
      <c r="BM533" s="115"/>
      <c r="BN533" s="115"/>
    </row>
    <row r="534" spans="50:66" ht="19.5" customHeight="1">
      <c r="AX534" s="544" t="s">
        <v>5310</v>
      </c>
      <c r="AY534" s="542" t="s">
        <v>5311</v>
      </c>
      <c r="AZ534" s="114"/>
      <c r="BA534" s="547" t="s">
        <v>5312</v>
      </c>
      <c r="BB534" s="547" t="s">
        <v>5313</v>
      </c>
      <c r="BC534" s="115"/>
      <c r="BD534" s="115"/>
      <c r="BE534" s="115"/>
      <c r="BF534" s="546" t="s">
        <v>5314</v>
      </c>
      <c r="BG534" s="546" t="s">
        <v>5315</v>
      </c>
      <c r="BH534" s="546" t="s">
        <v>5316</v>
      </c>
      <c r="BI534" s="547" t="s">
        <v>5317</v>
      </c>
      <c r="BJ534" s="547" t="s">
        <v>5318</v>
      </c>
      <c r="BK534" s="548" t="s">
        <v>5319</v>
      </c>
      <c r="BL534" s="547" t="s">
        <v>5320</v>
      </c>
      <c r="BM534" s="115"/>
      <c r="BN534" s="115"/>
    </row>
    <row r="535" spans="50:66" ht="19.5" customHeight="1">
      <c r="AX535" s="544" t="s">
        <v>5321</v>
      </c>
      <c r="AY535" s="542" t="s">
        <v>5322</v>
      </c>
      <c r="AZ535" s="114"/>
      <c r="BA535" s="547" t="s">
        <v>5323</v>
      </c>
      <c r="BB535" s="547" t="s">
        <v>5324</v>
      </c>
      <c r="BC535" s="115"/>
      <c r="BD535" s="115"/>
      <c r="BE535" s="115"/>
      <c r="BF535" s="546" t="s">
        <v>5325</v>
      </c>
      <c r="BG535" s="546" t="s">
        <v>5326</v>
      </c>
      <c r="BH535" s="546" t="s">
        <v>5327</v>
      </c>
      <c r="BI535" s="547" t="s">
        <v>5328</v>
      </c>
      <c r="BJ535" s="549" t="s">
        <v>5329</v>
      </c>
      <c r="BK535" s="115"/>
      <c r="BL535" s="547" t="s">
        <v>5330</v>
      </c>
      <c r="BM535" s="115"/>
      <c r="BN535" s="115"/>
    </row>
    <row r="536" spans="50:66" ht="19.5" customHeight="1">
      <c r="AX536" s="544" t="s">
        <v>5331</v>
      </c>
      <c r="AY536" s="542" t="s">
        <v>5332</v>
      </c>
      <c r="AZ536" s="114"/>
      <c r="BA536" s="547" t="s">
        <v>5333</v>
      </c>
      <c r="BB536" s="547" t="s">
        <v>5334</v>
      </c>
      <c r="BC536" s="115"/>
      <c r="BD536" s="115"/>
      <c r="BE536" s="115"/>
      <c r="BF536" s="546" t="s">
        <v>5335</v>
      </c>
      <c r="BG536" s="546" t="s">
        <v>5336</v>
      </c>
      <c r="BH536" s="546" t="s">
        <v>5337</v>
      </c>
      <c r="BI536" s="547" t="s">
        <v>5338</v>
      </c>
      <c r="BJ536" s="115"/>
      <c r="BK536" s="115"/>
      <c r="BL536" s="549" t="s">
        <v>5339</v>
      </c>
      <c r="BM536" s="115"/>
      <c r="BN536" s="115"/>
    </row>
    <row r="537" spans="50:66" ht="19.5" customHeight="1">
      <c r="AX537" s="544" t="s">
        <v>5340</v>
      </c>
      <c r="AY537" s="542" t="s">
        <v>5341</v>
      </c>
      <c r="AZ537" s="114"/>
      <c r="BA537" s="547" t="s">
        <v>5342</v>
      </c>
      <c r="BB537" s="547" t="s">
        <v>5343</v>
      </c>
      <c r="BC537" s="115"/>
      <c r="BD537" s="115"/>
      <c r="BE537" s="115"/>
      <c r="BF537" s="546" t="s">
        <v>5344</v>
      </c>
      <c r="BG537" s="546" t="s">
        <v>5345</v>
      </c>
      <c r="BH537" s="546" t="s">
        <v>5346</v>
      </c>
      <c r="BI537" s="547" t="s">
        <v>5347</v>
      </c>
      <c r="BJ537" s="115"/>
      <c r="BK537" s="115"/>
      <c r="BL537" s="115"/>
      <c r="BM537" s="115"/>
      <c r="BN537" s="115"/>
    </row>
    <row r="538" spans="50:66" ht="19.5" customHeight="1">
      <c r="AX538" s="637" t="s">
        <v>5348</v>
      </c>
      <c r="AY538" s="542" t="s">
        <v>5349</v>
      </c>
      <c r="AZ538" s="114"/>
      <c r="BA538" s="547" t="s">
        <v>5350</v>
      </c>
      <c r="BB538" s="547" t="s">
        <v>5351</v>
      </c>
      <c r="BC538" s="115"/>
      <c r="BD538" s="115"/>
      <c r="BE538" s="115"/>
      <c r="BF538" s="546" t="s">
        <v>5352</v>
      </c>
      <c r="BG538" s="546" t="s">
        <v>5353</v>
      </c>
      <c r="BH538" s="546" t="s">
        <v>5354</v>
      </c>
      <c r="BI538" s="547" t="s">
        <v>5355</v>
      </c>
      <c r="BJ538" s="115"/>
      <c r="BK538" s="115"/>
      <c r="BL538" s="115"/>
      <c r="BM538" s="115"/>
      <c r="BN538" s="115"/>
    </row>
    <row r="539" spans="50:66" ht="19.5" customHeight="1">
      <c r="AX539" s="114"/>
      <c r="AY539" s="542" t="s">
        <v>5356</v>
      </c>
      <c r="AZ539" s="114"/>
      <c r="BA539" s="547" t="s">
        <v>5357</v>
      </c>
      <c r="BB539" s="547" t="s">
        <v>5358</v>
      </c>
      <c r="BC539" s="115"/>
      <c r="BD539" s="115"/>
      <c r="BE539" s="115"/>
      <c r="BF539" s="546" t="s">
        <v>5359</v>
      </c>
      <c r="BG539" s="546" t="s">
        <v>5360</v>
      </c>
      <c r="BH539" s="546" t="s">
        <v>5361</v>
      </c>
      <c r="BI539" s="547" t="s">
        <v>5362</v>
      </c>
      <c r="BJ539" s="115"/>
      <c r="BK539" s="115"/>
      <c r="BL539" s="115"/>
      <c r="BM539" s="115"/>
      <c r="BN539" s="115"/>
    </row>
    <row r="540" spans="50:66" ht="19.5" customHeight="1">
      <c r="AX540" s="114"/>
      <c r="AY540" s="542" t="s">
        <v>5363</v>
      </c>
      <c r="AZ540" s="114"/>
      <c r="BA540" s="547" t="s">
        <v>5364</v>
      </c>
      <c r="BB540" s="547" t="s">
        <v>5365</v>
      </c>
      <c r="BC540" s="115"/>
      <c r="BD540" s="115"/>
      <c r="BE540" s="115"/>
      <c r="BF540" s="546" t="s">
        <v>5366</v>
      </c>
      <c r="BG540" s="546" t="s">
        <v>5367</v>
      </c>
      <c r="BH540" s="546" t="s">
        <v>5368</v>
      </c>
      <c r="BI540" s="547" t="s">
        <v>5369</v>
      </c>
      <c r="BJ540" s="115"/>
      <c r="BK540" s="115"/>
      <c r="BL540" s="115"/>
      <c r="BM540" s="115"/>
      <c r="BN540" s="115"/>
    </row>
    <row r="541" spans="50:66" ht="19.5" customHeight="1">
      <c r="AX541" s="114"/>
      <c r="AY541" s="542" t="s">
        <v>5370</v>
      </c>
      <c r="AZ541" s="114"/>
      <c r="BA541" s="547" t="s">
        <v>5371</v>
      </c>
      <c r="BB541" s="547" t="s">
        <v>5372</v>
      </c>
      <c r="BC541" s="115"/>
      <c r="BD541" s="115"/>
      <c r="BE541" s="115"/>
      <c r="BF541" s="546" t="s">
        <v>5373</v>
      </c>
      <c r="BG541" s="546" t="s">
        <v>5374</v>
      </c>
      <c r="BH541" s="546" t="s">
        <v>5375</v>
      </c>
      <c r="BI541" s="547" t="s">
        <v>5376</v>
      </c>
      <c r="BJ541" s="115"/>
      <c r="BK541" s="115"/>
      <c r="BL541" s="115"/>
      <c r="BM541" s="115"/>
      <c r="BN541" s="115"/>
    </row>
    <row r="542" spans="50:66" ht="19.5" customHeight="1">
      <c r="AX542" s="114"/>
      <c r="AY542" s="542" t="s">
        <v>5377</v>
      </c>
      <c r="AZ542" s="114"/>
      <c r="BA542" s="547" t="s">
        <v>5378</v>
      </c>
      <c r="BB542" s="547" t="s">
        <v>5379</v>
      </c>
      <c r="BC542" s="115"/>
      <c r="BD542" s="115"/>
      <c r="BE542" s="115"/>
      <c r="BF542" s="546" t="s">
        <v>5380</v>
      </c>
      <c r="BG542" s="546" t="s">
        <v>5381</v>
      </c>
      <c r="BH542" s="546" t="s">
        <v>5382</v>
      </c>
      <c r="BI542" s="547" t="s">
        <v>5383</v>
      </c>
      <c r="BJ542" s="115"/>
      <c r="BK542" s="115"/>
      <c r="BL542" s="115"/>
      <c r="BM542" s="115"/>
      <c r="BN542" s="115"/>
    </row>
    <row r="543" spans="50:66" ht="19.5" customHeight="1">
      <c r="AX543" s="114"/>
      <c r="AY543" s="542" t="s">
        <v>5384</v>
      </c>
      <c r="AZ543" s="114"/>
      <c r="BA543" s="547" t="s">
        <v>5385</v>
      </c>
      <c r="BB543" s="547" t="s">
        <v>5386</v>
      </c>
      <c r="BC543" s="115"/>
      <c r="BD543" s="115"/>
      <c r="BE543" s="115"/>
      <c r="BF543" s="546" t="s">
        <v>5387</v>
      </c>
      <c r="BG543" s="546" t="s">
        <v>5388</v>
      </c>
      <c r="BH543" s="546" t="s">
        <v>5389</v>
      </c>
      <c r="BI543" s="547" t="s">
        <v>5390</v>
      </c>
      <c r="BJ543" s="115"/>
      <c r="BK543" s="115"/>
      <c r="BL543" s="115"/>
      <c r="BM543" s="115"/>
      <c r="BN543" s="115"/>
    </row>
    <row r="544" spans="50:66" ht="19.5" customHeight="1">
      <c r="AX544" s="114"/>
      <c r="AY544" s="542" t="s">
        <v>5391</v>
      </c>
      <c r="AZ544" s="114"/>
      <c r="BA544" s="547" t="s">
        <v>5392</v>
      </c>
      <c r="BB544" s="547" t="s">
        <v>5393</v>
      </c>
      <c r="BC544" s="115"/>
      <c r="BD544" s="115"/>
      <c r="BE544" s="115"/>
      <c r="BF544" s="546" t="s">
        <v>5394</v>
      </c>
      <c r="BG544" s="546" t="s">
        <v>5395</v>
      </c>
      <c r="BH544" s="546" t="s">
        <v>5396</v>
      </c>
      <c r="BI544" s="547" t="s">
        <v>5397</v>
      </c>
      <c r="BJ544" s="115"/>
      <c r="BK544" s="115"/>
      <c r="BL544" s="115"/>
      <c r="BM544" s="115"/>
      <c r="BN544" s="115"/>
    </row>
    <row r="545" spans="50:66" ht="19.5" customHeight="1">
      <c r="AX545" s="114"/>
      <c r="AY545" s="542" t="s">
        <v>5398</v>
      </c>
      <c r="AZ545" s="114"/>
      <c r="BA545" s="547" t="s">
        <v>5399</v>
      </c>
      <c r="BB545" s="549" t="s">
        <v>5400</v>
      </c>
      <c r="BC545" s="115"/>
      <c r="BD545" s="115"/>
      <c r="BE545" s="115"/>
      <c r="BF545" s="548" t="s">
        <v>5401</v>
      </c>
      <c r="BG545" s="546" t="s">
        <v>5402</v>
      </c>
      <c r="BH545" s="546" t="s">
        <v>5403</v>
      </c>
      <c r="BI545" s="547" t="s">
        <v>5404</v>
      </c>
      <c r="BJ545" s="115"/>
      <c r="BK545" s="115"/>
      <c r="BL545" s="115"/>
      <c r="BM545" s="115"/>
      <c r="BN545" s="115"/>
    </row>
    <row r="546" spans="50:66" ht="19.5" customHeight="1">
      <c r="AX546" s="114"/>
      <c r="AY546" s="542" t="s">
        <v>5405</v>
      </c>
      <c r="AZ546" s="114"/>
      <c r="BA546" s="547" t="s">
        <v>5406</v>
      </c>
      <c r="BB546" s="115"/>
      <c r="BC546" s="115"/>
      <c r="BD546" s="115"/>
      <c r="BE546" s="115"/>
      <c r="BF546" s="115"/>
      <c r="BG546" s="546" t="s">
        <v>5407</v>
      </c>
      <c r="BH546" s="546" t="s">
        <v>5408</v>
      </c>
      <c r="BI546" s="547" t="s">
        <v>5409</v>
      </c>
      <c r="BJ546" s="115"/>
      <c r="BK546" s="115"/>
      <c r="BL546" s="115"/>
      <c r="BM546" s="115"/>
      <c r="BN546" s="115"/>
    </row>
    <row r="547" spans="50:66" ht="19.5" customHeight="1">
      <c r="AX547" s="114"/>
      <c r="AY547" s="542" t="s">
        <v>5410</v>
      </c>
      <c r="AZ547" s="114"/>
      <c r="BA547" s="547" t="s">
        <v>5411</v>
      </c>
      <c r="BB547" s="115"/>
      <c r="BC547" s="115"/>
      <c r="BD547" s="115"/>
      <c r="BE547" s="115"/>
      <c r="BF547" s="115"/>
      <c r="BG547" s="548" t="s">
        <v>5412</v>
      </c>
      <c r="BH547" s="546" t="s">
        <v>5413</v>
      </c>
      <c r="BI547" s="547" t="s">
        <v>5414</v>
      </c>
      <c r="BJ547" s="115"/>
      <c r="BK547" s="115"/>
      <c r="BL547" s="115"/>
      <c r="BM547" s="115"/>
      <c r="BN547" s="115"/>
    </row>
    <row r="548" spans="50:66" ht="19.5" customHeight="1">
      <c r="AX548" s="114"/>
      <c r="AY548" s="542" t="s">
        <v>5415</v>
      </c>
      <c r="AZ548" s="114"/>
      <c r="BA548" s="547" t="s">
        <v>5416</v>
      </c>
      <c r="BB548" s="115"/>
      <c r="BC548" s="115"/>
      <c r="BD548" s="115"/>
      <c r="BE548" s="115"/>
      <c r="BF548" s="115"/>
      <c r="BG548" s="115"/>
      <c r="BH548" s="546" t="s">
        <v>5417</v>
      </c>
      <c r="BI548" s="547" t="s">
        <v>5418</v>
      </c>
      <c r="BJ548" s="115"/>
      <c r="BK548" s="115"/>
      <c r="BL548" s="115"/>
      <c r="BM548" s="115"/>
      <c r="BN548" s="115"/>
    </row>
    <row r="549" spans="50:66" ht="19.5" customHeight="1">
      <c r="AX549" s="114"/>
      <c r="AY549" s="542" t="s">
        <v>5419</v>
      </c>
      <c r="AZ549" s="114"/>
      <c r="BA549" s="547" t="s">
        <v>5420</v>
      </c>
      <c r="BB549" s="115"/>
      <c r="BC549" s="115"/>
      <c r="BD549" s="115"/>
      <c r="BE549" s="115"/>
      <c r="BF549" s="115"/>
      <c r="BG549" s="115"/>
      <c r="BH549" s="546" t="s">
        <v>5421</v>
      </c>
      <c r="BI549" s="547" t="s">
        <v>5422</v>
      </c>
      <c r="BJ549" s="115"/>
      <c r="BK549" s="115"/>
      <c r="BL549" s="115"/>
      <c r="BM549" s="115"/>
      <c r="BN549" s="115"/>
    </row>
    <row r="550" spans="50:66" ht="19.5" customHeight="1">
      <c r="AX550" s="114"/>
      <c r="AY550" s="542" t="s">
        <v>5423</v>
      </c>
      <c r="AZ550" s="114"/>
      <c r="BA550" s="547" t="s">
        <v>5424</v>
      </c>
      <c r="BB550" s="115"/>
      <c r="BC550" s="115"/>
      <c r="BD550" s="115"/>
      <c r="BE550" s="115"/>
      <c r="BF550" s="115"/>
      <c r="BG550" s="115"/>
      <c r="BH550" s="546" t="s">
        <v>5425</v>
      </c>
      <c r="BI550" s="547" t="s">
        <v>5426</v>
      </c>
      <c r="BJ550" s="115"/>
      <c r="BK550" s="115"/>
      <c r="BL550" s="115"/>
      <c r="BM550" s="115"/>
      <c r="BN550" s="115"/>
    </row>
    <row r="551" spans="50:66" ht="19.5" customHeight="1">
      <c r="AX551" s="114"/>
      <c r="AY551" s="542" t="s">
        <v>5427</v>
      </c>
      <c r="AZ551" s="114"/>
      <c r="BA551" s="547" t="s">
        <v>5428</v>
      </c>
      <c r="BB551" s="115"/>
      <c r="BC551" s="115"/>
      <c r="BD551" s="115"/>
      <c r="BE551" s="115"/>
      <c r="BF551" s="115"/>
      <c r="BG551" s="115"/>
      <c r="BH551" s="548" t="s">
        <v>5429</v>
      </c>
      <c r="BI551" s="547" t="s">
        <v>5430</v>
      </c>
      <c r="BJ551" s="115"/>
      <c r="BK551" s="115"/>
      <c r="BL551" s="115"/>
      <c r="BM551" s="115"/>
      <c r="BN551" s="115"/>
    </row>
    <row r="552" spans="50:66" ht="19.5" customHeight="1">
      <c r="AX552" s="114"/>
      <c r="AY552" s="542" t="s">
        <v>5431</v>
      </c>
      <c r="AZ552" s="114"/>
      <c r="BA552" s="547" t="s">
        <v>5432</v>
      </c>
      <c r="BB552" s="115"/>
      <c r="BC552" s="115"/>
      <c r="BD552" s="115"/>
      <c r="BE552" s="115"/>
      <c r="BF552" s="115"/>
      <c r="BG552" s="115"/>
      <c r="BH552" s="115"/>
      <c r="BI552" s="547" t="s">
        <v>5433</v>
      </c>
      <c r="BJ552" s="115"/>
      <c r="BK552" s="115"/>
      <c r="BL552" s="115"/>
      <c r="BM552" s="115"/>
      <c r="BN552" s="115"/>
    </row>
    <row r="553" spans="50:66" ht="19.5" customHeight="1">
      <c r="AX553" s="114"/>
      <c r="AY553" s="542" t="s">
        <v>5434</v>
      </c>
      <c r="AZ553" s="114"/>
      <c r="BA553" s="547" t="s">
        <v>5435</v>
      </c>
      <c r="BB553" s="115"/>
      <c r="BC553" s="115"/>
      <c r="BD553" s="115"/>
      <c r="BE553" s="115"/>
      <c r="BF553" s="115"/>
      <c r="BG553" s="115"/>
      <c r="BH553" s="115"/>
      <c r="BI553" s="547" t="s">
        <v>5436</v>
      </c>
      <c r="BJ553" s="115"/>
      <c r="BK553" s="115"/>
      <c r="BL553" s="115"/>
      <c r="BM553" s="115"/>
      <c r="BN553" s="115"/>
    </row>
    <row r="554" spans="50:66" ht="19.5" customHeight="1">
      <c r="AX554" s="114"/>
      <c r="AY554" s="542" t="s">
        <v>5437</v>
      </c>
      <c r="AZ554" s="114"/>
      <c r="BA554" s="547" t="s">
        <v>5438</v>
      </c>
      <c r="BB554" s="115"/>
      <c r="BC554" s="115"/>
      <c r="BD554" s="115"/>
      <c r="BE554" s="115"/>
      <c r="BF554" s="115"/>
      <c r="BG554" s="115"/>
      <c r="BH554" s="115"/>
      <c r="BI554" s="547" t="s">
        <v>5439</v>
      </c>
      <c r="BJ554" s="115"/>
      <c r="BK554" s="115"/>
      <c r="BL554" s="115"/>
      <c r="BM554" s="115"/>
      <c r="BN554" s="115"/>
    </row>
    <row r="555" spans="50:66" ht="19.5" customHeight="1">
      <c r="AX555" s="114"/>
      <c r="AY555" s="542" t="s">
        <v>5440</v>
      </c>
      <c r="AZ555" s="114"/>
      <c r="BA555" s="547" t="s">
        <v>5441</v>
      </c>
      <c r="BB555" s="115"/>
      <c r="BC555" s="115"/>
      <c r="BD555" s="115"/>
      <c r="BE555" s="115"/>
      <c r="BF555" s="115"/>
      <c r="BG555" s="115"/>
      <c r="BH555" s="115"/>
      <c r="BI555" s="547" t="s">
        <v>5442</v>
      </c>
      <c r="BJ555" s="115"/>
      <c r="BK555" s="115"/>
      <c r="BL555" s="115"/>
      <c r="BM555" s="115"/>
      <c r="BN555" s="115"/>
    </row>
    <row r="556" spans="50:66" ht="19.5" customHeight="1">
      <c r="AX556" s="114"/>
      <c r="AY556" s="542" t="s">
        <v>5443</v>
      </c>
      <c r="AZ556" s="114"/>
      <c r="BA556" s="547" t="s">
        <v>5444</v>
      </c>
      <c r="BB556" s="115"/>
      <c r="BC556" s="115"/>
      <c r="BD556" s="115"/>
      <c r="BE556" s="115"/>
      <c r="BF556" s="115"/>
      <c r="BG556" s="115"/>
      <c r="BH556" s="115"/>
      <c r="BI556" s="547" t="s">
        <v>5445</v>
      </c>
      <c r="BJ556" s="115"/>
      <c r="BK556" s="115"/>
      <c r="BL556" s="115"/>
      <c r="BM556" s="115"/>
      <c r="BN556" s="115"/>
    </row>
    <row r="557" spans="50:66" ht="19.5" customHeight="1">
      <c r="AX557" s="114"/>
      <c r="AY557" s="542" t="s">
        <v>5446</v>
      </c>
      <c r="AZ557" s="114"/>
      <c r="BA557" s="549" t="s">
        <v>5447</v>
      </c>
      <c r="BB557" s="115"/>
      <c r="BC557" s="115"/>
      <c r="BD557" s="115"/>
      <c r="BE557" s="115"/>
      <c r="BF557" s="115"/>
      <c r="BG557" s="115"/>
      <c r="BH557" s="115"/>
      <c r="BI557" s="547" t="s">
        <v>5448</v>
      </c>
      <c r="BJ557" s="115"/>
      <c r="BK557" s="115"/>
      <c r="BL557" s="115"/>
      <c r="BM557" s="115"/>
      <c r="BN557" s="115"/>
    </row>
    <row r="558" spans="50:66" ht="19.5" customHeight="1">
      <c r="AX558" s="114"/>
      <c r="AY558" s="542" t="s">
        <v>5449</v>
      </c>
      <c r="AZ558" s="114"/>
      <c r="BA558" s="115"/>
      <c r="BB558" s="115"/>
      <c r="BC558" s="115"/>
      <c r="BD558" s="115"/>
      <c r="BE558" s="115"/>
      <c r="BF558" s="115"/>
      <c r="BG558" s="115"/>
      <c r="BH558" s="115"/>
      <c r="BI558" s="547" t="s">
        <v>5450</v>
      </c>
      <c r="BJ558" s="115"/>
      <c r="BK558" s="115"/>
      <c r="BL558" s="115"/>
      <c r="BM558" s="115"/>
      <c r="BN558" s="115"/>
    </row>
    <row r="559" spans="50:66" ht="19.5" customHeight="1">
      <c r="AX559" s="114"/>
      <c r="AY559" s="542" t="s">
        <v>5451</v>
      </c>
      <c r="AZ559" s="114"/>
      <c r="BA559" s="115"/>
      <c r="BB559" s="115"/>
      <c r="BC559" s="115"/>
      <c r="BD559" s="115"/>
      <c r="BE559" s="115"/>
      <c r="BF559" s="115"/>
      <c r="BG559" s="115"/>
      <c r="BH559" s="115"/>
      <c r="BI559" s="547" t="s">
        <v>5452</v>
      </c>
      <c r="BJ559" s="115"/>
      <c r="BK559" s="115"/>
      <c r="BL559" s="115"/>
      <c r="BM559" s="115"/>
      <c r="BN559" s="115"/>
    </row>
    <row r="560" spans="50:66" ht="19.5" customHeight="1">
      <c r="AX560" s="114"/>
      <c r="AY560" s="542" t="s">
        <v>5453</v>
      </c>
      <c r="AZ560" s="114"/>
      <c r="BA560" s="115"/>
      <c r="BB560" s="115"/>
      <c r="BC560" s="115"/>
      <c r="BD560" s="115"/>
      <c r="BE560" s="115"/>
      <c r="BF560" s="115"/>
      <c r="BG560" s="115"/>
      <c r="BH560" s="115"/>
      <c r="BI560" s="547" t="s">
        <v>5454</v>
      </c>
      <c r="BJ560" s="115"/>
      <c r="BK560" s="115"/>
      <c r="BL560" s="115"/>
      <c r="BM560" s="115"/>
      <c r="BN560" s="115"/>
    </row>
    <row r="561" spans="50:66" ht="19.5" customHeight="1">
      <c r="AX561" s="114"/>
      <c r="AY561" s="542" t="s">
        <v>5455</v>
      </c>
      <c r="AZ561" s="114"/>
      <c r="BA561" s="115"/>
      <c r="BB561" s="115"/>
      <c r="BC561" s="115"/>
      <c r="BD561" s="115"/>
      <c r="BE561" s="115"/>
      <c r="BF561" s="115"/>
      <c r="BG561" s="115"/>
      <c r="BH561" s="115"/>
      <c r="BI561" s="547" t="s">
        <v>5456</v>
      </c>
      <c r="BJ561" s="115"/>
      <c r="BK561" s="115"/>
      <c r="BL561" s="115"/>
      <c r="BM561" s="115"/>
      <c r="BN561" s="115"/>
    </row>
    <row r="562" spans="50:66" ht="19.5" customHeight="1">
      <c r="AX562" s="114"/>
      <c r="AY562" s="542" t="s">
        <v>5457</v>
      </c>
      <c r="AZ562" s="114"/>
      <c r="BA562" s="115"/>
      <c r="BB562" s="115"/>
      <c r="BC562" s="115"/>
      <c r="BD562" s="115"/>
      <c r="BE562" s="115"/>
      <c r="BF562" s="115"/>
      <c r="BG562" s="115"/>
      <c r="BH562" s="115"/>
      <c r="BI562" s="547" t="s">
        <v>5458</v>
      </c>
      <c r="BJ562" s="115"/>
      <c r="BK562" s="115"/>
      <c r="BL562" s="115"/>
      <c r="BM562" s="115"/>
      <c r="BN562" s="115"/>
    </row>
    <row r="563" spans="50:66" ht="19.5" customHeight="1">
      <c r="AX563" s="114"/>
      <c r="AY563" s="542" t="s">
        <v>5459</v>
      </c>
      <c r="AZ563" s="114"/>
      <c r="BA563" s="115"/>
      <c r="BB563" s="115"/>
      <c r="BC563" s="115"/>
      <c r="BD563" s="115"/>
      <c r="BE563" s="115"/>
      <c r="BF563" s="115"/>
      <c r="BG563" s="115"/>
      <c r="BH563" s="115"/>
      <c r="BI563" s="547" t="s">
        <v>5460</v>
      </c>
      <c r="BJ563" s="115"/>
      <c r="BK563" s="115"/>
      <c r="BL563" s="115"/>
      <c r="BM563" s="115"/>
      <c r="BN563" s="115"/>
    </row>
    <row r="564" spans="50:66" ht="19.5" customHeight="1">
      <c r="AX564" s="114"/>
      <c r="AY564" s="542" t="s">
        <v>5461</v>
      </c>
      <c r="AZ564" s="114"/>
      <c r="BA564" s="115"/>
      <c r="BB564" s="115"/>
      <c r="BC564" s="115"/>
      <c r="BD564" s="115"/>
      <c r="BE564" s="115"/>
      <c r="BF564" s="115"/>
      <c r="BG564" s="115"/>
      <c r="BH564" s="115"/>
      <c r="BI564" s="547" t="s">
        <v>5462</v>
      </c>
      <c r="BJ564" s="115"/>
      <c r="BK564" s="115"/>
      <c r="BL564" s="115"/>
      <c r="BM564" s="115"/>
      <c r="BN564" s="115"/>
    </row>
    <row r="565" spans="50:66" ht="19.5" customHeight="1">
      <c r="AX565" s="114"/>
      <c r="AY565" s="542" t="s">
        <v>5463</v>
      </c>
      <c r="AZ565" s="114"/>
      <c r="BA565" s="115"/>
      <c r="BB565" s="115"/>
      <c r="BC565" s="115"/>
      <c r="BD565" s="115"/>
      <c r="BE565" s="115"/>
      <c r="BF565" s="115"/>
      <c r="BG565" s="115"/>
      <c r="BH565" s="115"/>
      <c r="BI565" s="547" t="s">
        <v>5464</v>
      </c>
      <c r="BJ565" s="115"/>
      <c r="BK565" s="115"/>
      <c r="BL565" s="115"/>
      <c r="BM565" s="115"/>
      <c r="BN565" s="115"/>
    </row>
    <row r="566" spans="50:66" ht="19.5" customHeight="1">
      <c r="AX566" s="114"/>
      <c r="AY566" s="542" t="s">
        <v>5465</v>
      </c>
      <c r="AZ566" s="114"/>
      <c r="BA566" s="115"/>
      <c r="BB566" s="115"/>
      <c r="BC566" s="115"/>
      <c r="BD566" s="115"/>
      <c r="BE566" s="115"/>
      <c r="BF566" s="115"/>
      <c r="BG566" s="115"/>
      <c r="BH566" s="115"/>
      <c r="BI566" s="547" t="s">
        <v>5466</v>
      </c>
      <c r="BJ566" s="115"/>
      <c r="BK566" s="115"/>
      <c r="BL566" s="115"/>
      <c r="BM566" s="115"/>
      <c r="BN566" s="115"/>
    </row>
    <row r="567" spans="50:66" ht="19.5" customHeight="1">
      <c r="AX567" s="114"/>
      <c r="AY567" s="542" t="s">
        <v>5467</v>
      </c>
      <c r="AZ567" s="114"/>
      <c r="BA567" s="115"/>
      <c r="BB567" s="115"/>
      <c r="BC567" s="115"/>
      <c r="BD567" s="115"/>
      <c r="BE567" s="115"/>
      <c r="BF567" s="115"/>
      <c r="BG567" s="115"/>
      <c r="BH567" s="115"/>
      <c r="BI567" s="549" t="s">
        <v>5468</v>
      </c>
      <c r="BJ567" s="115"/>
      <c r="BK567" s="115"/>
      <c r="BL567" s="115"/>
      <c r="BM567" s="115"/>
      <c r="BN567" s="115"/>
    </row>
    <row r="568" spans="50:66" ht="19.5" customHeight="1">
      <c r="AX568" s="114"/>
      <c r="AY568" s="542" t="s">
        <v>5469</v>
      </c>
      <c r="AZ568" s="114"/>
      <c r="BA568" s="115"/>
      <c r="BB568" s="115"/>
      <c r="BC568" s="115"/>
      <c r="BD568" s="115"/>
      <c r="BE568" s="115"/>
      <c r="BF568" s="115"/>
      <c r="BG568" s="115"/>
      <c r="BH568" s="115"/>
      <c r="BI568" s="115"/>
      <c r="BJ568" s="115"/>
      <c r="BK568" s="115"/>
      <c r="BL568" s="115"/>
      <c r="BM568" s="115"/>
      <c r="BN568" s="115"/>
    </row>
    <row r="569" spans="50:66" ht="19.5" customHeight="1">
      <c r="AX569" s="114"/>
      <c r="AY569" s="542" t="s">
        <v>5470</v>
      </c>
      <c r="AZ569" s="114"/>
      <c r="BA569" s="115"/>
      <c r="BB569" s="115"/>
      <c r="BC569" s="115"/>
      <c r="BD569" s="115"/>
      <c r="BE569" s="115"/>
      <c r="BF569" s="115"/>
      <c r="BG569" s="115"/>
      <c r="BH569" s="115"/>
      <c r="BI569" s="115"/>
      <c r="BJ569" s="115"/>
      <c r="BK569" s="115"/>
      <c r="BL569" s="115"/>
      <c r="BM569" s="115"/>
      <c r="BN569" s="115"/>
    </row>
    <row r="570" spans="50:66" ht="19.5" customHeight="1">
      <c r="AX570" s="114"/>
      <c r="AY570" s="542" t="s">
        <v>5471</v>
      </c>
      <c r="AZ570" s="114"/>
      <c r="BA570" s="115"/>
      <c r="BB570" s="115"/>
      <c r="BC570" s="115"/>
      <c r="BD570" s="115"/>
      <c r="BE570" s="115"/>
      <c r="BF570" s="115"/>
      <c r="BG570" s="115"/>
      <c r="BH570" s="115"/>
      <c r="BI570" s="115"/>
      <c r="BJ570" s="115"/>
      <c r="BK570" s="115"/>
      <c r="BL570" s="115"/>
      <c r="BM570" s="115"/>
      <c r="BN570" s="115"/>
    </row>
    <row r="571" spans="50:66" ht="19.5" customHeight="1">
      <c r="AX571" s="114"/>
      <c r="AY571" s="542" t="s">
        <v>5472</v>
      </c>
      <c r="AZ571" s="114"/>
      <c r="BA571" s="115"/>
      <c r="BB571" s="115"/>
      <c r="BC571" s="115"/>
      <c r="BD571" s="115"/>
      <c r="BE571" s="115"/>
      <c r="BF571" s="115"/>
      <c r="BG571" s="115"/>
      <c r="BH571" s="115"/>
      <c r="BI571" s="115"/>
      <c r="BJ571" s="115"/>
      <c r="BK571" s="115"/>
      <c r="BL571" s="115"/>
      <c r="BM571" s="115"/>
      <c r="BN571" s="115"/>
    </row>
    <row r="572" spans="50:66" ht="19.5" customHeight="1">
      <c r="AX572" s="114"/>
      <c r="AY572" s="545" t="s">
        <v>5473</v>
      </c>
      <c r="AZ572" s="114"/>
      <c r="BA572" s="115"/>
      <c r="BB572" s="115"/>
      <c r="BC572" s="115"/>
      <c r="BD572" s="115"/>
      <c r="BE572" s="115"/>
      <c r="BF572" s="115"/>
      <c r="BG572" s="115"/>
      <c r="BH572" s="115"/>
      <c r="BI572" s="115"/>
      <c r="BJ572" s="115"/>
      <c r="BK572" s="115"/>
      <c r="BL572" s="115"/>
      <c r="BM572" s="115"/>
      <c r="BN572" s="115"/>
    </row>
    <row r="573" spans="50:66" ht="19.5" customHeight="1">
      <c r="AX573" s="114"/>
      <c r="AY573" s="114"/>
      <c r="AZ573" s="114"/>
      <c r="BA573" s="115"/>
      <c r="BB573" s="115"/>
      <c r="BC573" s="115"/>
      <c r="BD573" s="115"/>
      <c r="BE573" s="115"/>
      <c r="BF573" s="115"/>
      <c r="BG573" s="115"/>
      <c r="BH573" s="115"/>
      <c r="BI573" s="115"/>
      <c r="BJ573" s="115"/>
      <c r="BK573" s="115"/>
      <c r="BL573" s="115"/>
      <c r="BM573" s="115"/>
      <c r="BN573" s="115"/>
    </row>
    <row r="574" spans="50:66" ht="19.5" customHeight="1">
      <c r="AX574" s="114" t="s">
        <v>5474</v>
      </c>
      <c r="AY574" s="114"/>
      <c r="AZ574" s="114"/>
      <c r="BA574" s="115"/>
      <c r="BB574" s="115"/>
      <c r="BC574" s="115"/>
      <c r="BD574" s="115"/>
      <c r="BE574" s="115"/>
      <c r="BF574" s="115"/>
      <c r="BG574" s="115"/>
      <c r="BH574" s="115"/>
      <c r="BI574" s="115"/>
      <c r="BJ574" s="115"/>
      <c r="BK574" s="115"/>
      <c r="BL574" s="115"/>
      <c r="BM574" s="115"/>
      <c r="BN574" s="115"/>
    </row>
    <row r="575" spans="50:66" ht="19.5" customHeight="1">
      <c r="AX575" s="796" t="s">
        <v>5096</v>
      </c>
      <c r="AY575" s="1012"/>
      <c r="AZ575" s="1012"/>
      <c r="BA575" s="797" t="str">
        <f>""</f>
        <v/>
      </c>
      <c r="BB575" s="115"/>
      <c r="BC575" s="115"/>
      <c r="BD575" s="115"/>
      <c r="BE575" s="115"/>
      <c r="BF575" s="115"/>
      <c r="BG575" s="115"/>
      <c r="BH575" s="115"/>
      <c r="BI575" s="115"/>
      <c r="BJ575" s="115"/>
      <c r="BK575" s="115"/>
      <c r="BL575" s="115"/>
      <c r="BM575" s="115"/>
      <c r="BN575" s="115"/>
    </row>
    <row r="576" spans="50:66" ht="19.5" customHeight="1">
      <c r="AX576" s="544" t="s">
        <v>4583</v>
      </c>
      <c r="AY576" s="114" t="s">
        <v>5164</v>
      </c>
      <c r="AZ576" s="114" t="s">
        <v>5475</v>
      </c>
      <c r="BA576" s="1014" t="s">
        <v>5098</v>
      </c>
      <c r="BB576" s="115"/>
      <c r="BC576" s="115"/>
      <c r="BD576" s="115"/>
      <c r="BE576" s="115"/>
      <c r="BF576" s="115"/>
      <c r="BG576" s="115"/>
      <c r="BH576" s="115"/>
      <c r="BI576" s="115"/>
      <c r="BJ576" s="115"/>
      <c r="BK576" s="115"/>
      <c r="BL576" s="115"/>
      <c r="BM576" s="115"/>
      <c r="BN576" s="115"/>
    </row>
    <row r="577" spans="50:66" ht="19.5" customHeight="1">
      <c r="AX577" s="544" t="s">
        <v>4589</v>
      </c>
      <c r="AY577" s="114" t="s">
        <v>5180</v>
      </c>
      <c r="AZ577" s="114" t="s">
        <v>5476</v>
      </c>
      <c r="BA577" s="1014" t="s">
        <v>1112</v>
      </c>
      <c r="BB577" s="115"/>
      <c r="BC577" s="115"/>
      <c r="BD577" s="115"/>
      <c r="BE577" s="115"/>
      <c r="BF577" s="115"/>
      <c r="BG577" s="115"/>
      <c r="BH577" s="115"/>
      <c r="BI577" s="115"/>
      <c r="BJ577" s="115"/>
      <c r="BK577" s="115"/>
      <c r="BL577" s="115"/>
      <c r="BM577" s="115"/>
      <c r="BN577" s="115"/>
    </row>
    <row r="578" spans="50:66" ht="19.5" customHeight="1">
      <c r="AX578" s="544" t="s">
        <v>4593</v>
      </c>
      <c r="AY578" s="114" t="s">
        <v>5196</v>
      </c>
      <c r="AZ578" s="114" t="s">
        <v>5476</v>
      </c>
      <c r="BA578" s="1014" t="s">
        <v>1112</v>
      </c>
      <c r="BB578" s="115"/>
      <c r="BC578" s="115"/>
      <c r="BD578" s="115"/>
      <c r="BE578" s="115"/>
      <c r="BF578" s="115"/>
      <c r="BG578" s="115"/>
      <c r="BH578" s="115"/>
      <c r="BI578" s="115"/>
      <c r="BJ578" s="115"/>
      <c r="BK578" s="115"/>
      <c r="BL578" s="115"/>
      <c r="BM578" s="115"/>
      <c r="BN578" s="115"/>
    </row>
    <row r="579" spans="50:66" ht="19.5" customHeight="1">
      <c r="AX579" s="544" t="s">
        <v>4623</v>
      </c>
      <c r="AY579" s="114" t="s">
        <v>5212</v>
      </c>
      <c r="AZ579" s="114" t="s">
        <v>5476</v>
      </c>
      <c r="BA579" s="1014" t="s">
        <v>1112</v>
      </c>
      <c r="BB579" s="115"/>
      <c r="BC579" s="115"/>
      <c r="BD579" s="115"/>
      <c r="BE579" s="115"/>
      <c r="BF579" s="115"/>
      <c r="BG579" s="115"/>
      <c r="BH579" s="115"/>
      <c r="BI579" s="115"/>
      <c r="BJ579" s="115"/>
      <c r="BK579" s="115"/>
      <c r="BL579" s="115"/>
      <c r="BM579" s="115"/>
      <c r="BN579" s="115"/>
    </row>
    <row r="580" spans="50:66" ht="19.5" customHeight="1">
      <c r="AX580" s="544" t="s">
        <v>4632</v>
      </c>
      <c r="AY580" s="114" t="s">
        <v>5228</v>
      </c>
      <c r="AZ580" s="114" t="s">
        <v>5476</v>
      </c>
      <c r="BA580" s="1014" t="s">
        <v>1112</v>
      </c>
      <c r="BB580" s="115"/>
      <c r="BC580" s="115"/>
      <c r="BD580" s="115"/>
      <c r="BE580" s="115"/>
      <c r="BF580" s="115"/>
      <c r="BG580" s="115"/>
      <c r="BH580" s="115"/>
      <c r="BI580" s="115"/>
      <c r="BJ580" s="115"/>
      <c r="BK580" s="115"/>
      <c r="BL580" s="115"/>
      <c r="BM580" s="115"/>
      <c r="BN580" s="115"/>
    </row>
    <row r="581" spans="50:66" ht="19.5" customHeight="1">
      <c r="AX581" s="544" t="s">
        <v>4636</v>
      </c>
      <c r="AY581" s="114" t="s">
        <v>5244</v>
      </c>
      <c r="AZ581" s="114" t="s">
        <v>5476</v>
      </c>
      <c r="BA581" s="1014" t="s">
        <v>1112</v>
      </c>
      <c r="BB581" s="115"/>
      <c r="BC581" s="115"/>
      <c r="BD581" s="115"/>
      <c r="BE581" s="115"/>
      <c r="BF581" s="115"/>
      <c r="BG581" s="115"/>
      <c r="BH581" s="115"/>
      <c r="BI581" s="115"/>
      <c r="BJ581" s="115"/>
      <c r="BK581" s="115"/>
      <c r="BL581" s="115"/>
      <c r="BM581" s="115"/>
      <c r="BN581" s="115"/>
    </row>
    <row r="582" spans="50:66" ht="19.5" customHeight="1">
      <c r="AX582" s="544" t="s">
        <v>4650</v>
      </c>
      <c r="AY582" s="114" t="s">
        <v>5258</v>
      </c>
      <c r="AZ582" s="114" t="s">
        <v>5476</v>
      </c>
      <c r="BA582" s="1014" t="s">
        <v>1112</v>
      </c>
      <c r="BB582" s="115"/>
      <c r="BC582" s="115"/>
      <c r="BD582" s="115"/>
      <c r="BE582" s="115"/>
      <c r="BF582" s="115"/>
      <c r="BG582" s="115"/>
      <c r="BH582" s="115"/>
      <c r="BI582" s="115"/>
      <c r="BJ582" s="115"/>
      <c r="BK582" s="115"/>
      <c r="BL582" s="115"/>
      <c r="BM582" s="115"/>
      <c r="BN582" s="115"/>
    </row>
    <row r="583" spans="50:66" ht="19.5" customHeight="1">
      <c r="AX583" s="544" t="s">
        <v>4666</v>
      </c>
      <c r="AY583" s="114" t="s">
        <v>5272</v>
      </c>
      <c r="AZ583" s="114" t="s">
        <v>5476</v>
      </c>
      <c r="BA583" s="1014" t="s">
        <v>1112</v>
      </c>
      <c r="BB583" s="115"/>
      <c r="BC583" s="115"/>
      <c r="BD583" s="115"/>
      <c r="BE583" s="115"/>
      <c r="BF583" s="115"/>
      <c r="BG583" s="115"/>
      <c r="BH583" s="115"/>
      <c r="BI583" s="115"/>
      <c r="BJ583" s="115"/>
      <c r="BK583" s="115"/>
      <c r="BL583" s="115"/>
      <c r="BM583" s="115"/>
      <c r="BN583" s="115"/>
    </row>
    <row r="584" spans="50:66" ht="19.5" customHeight="1">
      <c r="AX584" s="544" t="s">
        <v>4671</v>
      </c>
      <c r="AY584" s="114" t="s">
        <v>5286</v>
      </c>
      <c r="AZ584" s="114" t="s">
        <v>5476</v>
      </c>
      <c r="BA584" s="1014" t="s">
        <v>1112</v>
      </c>
      <c r="BB584" s="115"/>
      <c r="BC584" s="115"/>
      <c r="BD584" s="115"/>
      <c r="BE584" s="115"/>
      <c r="BF584" s="115"/>
      <c r="BG584" s="115"/>
      <c r="BH584" s="115"/>
      <c r="BI584" s="115"/>
      <c r="BJ584" s="115"/>
      <c r="BK584" s="115"/>
      <c r="BL584" s="115"/>
      <c r="BM584" s="115"/>
      <c r="BN584" s="115"/>
    </row>
    <row r="585" spans="50:66" ht="19.5" customHeight="1">
      <c r="AX585" s="544" t="s">
        <v>4695</v>
      </c>
      <c r="AY585" s="114" t="s">
        <v>5298</v>
      </c>
      <c r="AZ585" s="114" t="s">
        <v>5475</v>
      </c>
      <c r="BA585" s="1014" t="s">
        <v>5098</v>
      </c>
      <c r="BB585" s="115"/>
      <c r="BC585" s="115"/>
      <c r="BD585" s="115"/>
      <c r="BE585" s="115"/>
      <c r="BF585" s="115"/>
      <c r="BG585" s="115"/>
      <c r="BH585" s="115"/>
      <c r="BI585" s="115"/>
      <c r="BJ585" s="115"/>
      <c r="BK585" s="115"/>
      <c r="BL585" s="115"/>
      <c r="BM585" s="115"/>
      <c r="BN585" s="115"/>
    </row>
    <row r="586" spans="50:66" ht="19.5" customHeight="1">
      <c r="AX586" s="544" t="s">
        <v>4718</v>
      </c>
      <c r="AY586" s="114" t="s">
        <v>5310</v>
      </c>
      <c r="AZ586" s="114" t="s">
        <v>5475</v>
      </c>
      <c r="BA586" s="1014" t="s">
        <v>5098</v>
      </c>
      <c r="BB586" s="115"/>
      <c r="BC586" s="115"/>
      <c r="BD586" s="115"/>
      <c r="BE586" s="115"/>
      <c r="BF586" s="115"/>
      <c r="BG586" s="115"/>
      <c r="BH586" s="115"/>
      <c r="BI586" s="115"/>
      <c r="BJ586" s="115"/>
      <c r="BK586" s="115"/>
      <c r="BL586" s="115"/>
      <c r="BM586" s="115"/>
      <c r="BN586" s="115"/>
    </row>
    <row r="587" spans="50:66" ht="19.5" customHeight="1">
      <c r="AX587" s="544" t="s">
        <v>4734</v>
      </c>
      <c r="AY587" s="114" t="s">
        <v>5321</v>
      </c>
      <c r="AZ587" s="114" t="s">
        <v>5475</v>
      </c>
      <c r="BA587" s="1014" t="s">
        <v>5098</v>
      </c>
      <c r="BB587" s="115"/>
      <c r="BC587" s="115"/>
      <c r="BD587" s="115"/>
      <c r="BE587" s="115"/>
      <c r="BF587" s="115"/>
      <c r="BG587" s="115"/>
      <c r="BH587" s="115"/>
      <c r="BI587" s="115"/>
      <c r="BJ587" s="115"/>
      <c r="BK587" s="115"/>
      <c r="BL587" s="115"/>
      <c r="BM587" s="115"/>
      <c r="BN587" s="115"/>
    </row>
    <row r="588" spans="50:66" ht="19.5" customHeight="1">
      <c r="AX588" s="544" t="s">
        <v>4746</v>
      </c>
      <c r="AY588" s="114" t="s">
        <v>5331</v>
      </c>
      <c r="AZ588" s="114" t="s">
        <v>5475</v>
      </c>
      <c r="BA588" s="1014" t="s">
        <v>5098</v>
      </c>
      <c r="BB588" s="115"/>
      <c r="BC588" s="115"/>
      <c r="BD588" s="115"/>
      <c r="BE588" s="115"/>
      <c r="BF588" s="115"/>
      <c r="BG588" s="115"/>
      <c r="BH588" s="115"/>
      <c r="BI588" s="115"/>
      <c r="BJ588" s="115"/>
      <c r="BK588" s="115"/>
      <c r="BL588" s="115"/>
      <c r="BM588" s="115"/>
      <c r="BN588" s="115"/>
    </row>
    <row r="589" spans="50:66" ht="19.5" customHeight="1">
      <c r="AX589" s="544" t="s">
        <v>4762</v>
      </c>
      <c r="AY589" s="114" t="s">
        <v>5340</v>
      </c>
      <c r="AZ589" s="114" t="s">
        <v>5475</v>
      </c>
      <c r="BA589" s="1014" t="s">
        <v>5098</v>
      </c>
      <c r="BB589" s="115"/>
      <c r="BC589" s="115"/>
      <c r="BD589" s="115"/>
      <c r="BE589" s="115"/>
      <c r="BF589" s="115"/>
      <c r="BG589" s="115"/>
      <c r="BH589" s="115"/>
      <c r="BI589" s="115"/>
      <c r="BJ589" s="115"/>
      <c r="BK589" s="115"/>
      <c r="BL589" s="115"/>
      <c r="BM589" s="115"/>
      <c r="BN589" s="115"/>
    </row>
    <row r="590" spans="50:66" ht="19.5" customHeight="1">
      <c r="AX590" s="637" t="s">
        <v>4794</v>
      </c>
      <c r="AY590" s="1015" t="s">
        <v>5348</v>
      </c>
      <c r="AZ590" s="1015" t="s">
        <v>5475</v>
      </c>
      <c r="BA590" s="1016" t="s">
        <v>5098</v>
      </c>
      <c r="BB590" s="115"/>
      <c r="BC590" s="115"/>
      <c r="BD590" s="115"/>
      <c r="BE590" s="115"/>
      <c r="BF590" s="115"/>
      <c r="BG590" s="115"/>
      <c r="BH590" s="115"/>
      <c r="BI590" s="115"/>
      <c r="BJ590" s="115"/>
      <c r="BK590" s="115"/>
      <c r="BL590" s="115"/>
      <c r="BM590" s="115"/>
      <c r="BN590" s="115"/>
    </row>
  </sheetData>
  <sheetProtection algorithmName="SHA-512" hashValue="u8jZUeb/yaugKvYXn1jyVoiKq6HPUPn+EBji1Njkr1OIsQ2IMqDUl/OmsV9Q/TWW+sRbCkM+EOCx2NdE2SAK/A==" saltValue="OCr0Q05uqKU8s0JK9RgBnA==" spinCount="100000" sheet="1" objects="1" scenarios="1" selectLockedCells="1"/>
  <protectedRanges>
    <protectedRange sqref="BG23:BK23 BG89:BJ101 BG11:BJ22" name="範囲1_4"/>
    <protectedRange sqref="Q93:Z93 AF11:AJ12 AB93:AD93 Q11:Z12 AB11:AD12 L106:N106 C93:N93 AF93:AJ93 AF106:AJ108 AB106:AD108 Y108:Z110 AF110:AJ110 AH109:AJ109 AB110:AD110 AD109:AF109 AA109:AB109 Z107 C11:N12 C162:N162 Q162:Z162 AF162:AJ162 AB162:AD162 Q121:Z123 C121:N123 AF120:AJ123 AB120:AD120 AB168:AD180 AF168:AJ180 Q168:Z180 C168:N180 C120:I120 AB122:AD123 AC121:AD121 AB186:AD187 AF186:AJ187 Q186:Z187 C186:N187 AB196:AD197 AF196:AJ197 Q196:Z197 C196:N197" name="範囲1"/>
    <protectedRange sqref="D13:I14 K13:P14 D26:I26 K26:P26 D57:I57 K57:P57" name="範囲1_8_1"/>
    <protectedRange sqref="C15:I15" name="範囲1_1_2_1"/>
    <protectedRange sqref="C19:I19" name="範囲1_2_2_1"/>
    <protectedRange sqref="AE95 AB95:AC95 AF96:AF97 AM98 AQ98:AS98 AA95:AA97 AG95:AI97 AB96:AD100 L98 R98:T98 N98:O98 L105:O105 AQ94:AS95 X98:Y98 AF100:AI100 AH98:AI98 AF99:AJ99 AM94:AM95 Q99:T101 Q105:T105 V113:Y113 L99:O101 L87:N87 V119:Y120" name="範囲1_8_2"/>
    <protectedRange sqref="L16:L19 O16:O19 L29:L35" name="範囲14_1"/>
    <protectedRange sqref="C101:C103 C94 C96:C99 D94:I103 C28:I36 C81:I81 C104:I106 C56:I56 C20:C25 E20:I25 D20:D24 C83:I83 C85:I87 C112:I118" name="範囲1_6_1"/>
    <protectedRange sqref="T95 Q112:S112 AK98:AL98 AK99:AO100 AQ99:AS100 V105:Z105 V98:W98 L94:Q94 M95:R95 AK95:AL95 AA94:AC94 AQ96:AS97 L96:P97 AK96:AO97 V99:Z101 J94:K101 J102:N104 Q102:Z104 AB101:AD105 J28:N28 Q28:Z28 J36:N36 AB28:AD28 AF28:AJ28 J113:K113 R87:V87 J112:N112 AG112:AJ112 AB113:AD113 AF112:AF113 AF101:AJ105 J105:K106 V106:X106 Q106:S106 L15:N15 Q15:Z15 AB15:AD15 AF15:AJ15 AF20:AJ25 D25 J56:N56 AB56:AD56 AF56:AJ56 Q56:Z56 O83:P83 R83:V83 Y81:Z84 Q81:X82 L37:N40 AB37:AD40 AF37:AJ40 Q37:Z40 M20:N25 J20:L24 K25 Z20:Z25 Y20:Y24 AB20:AB25 AD20:AD25 AC20:AC24 Q20:X25 AF87 AB81:AD84 AB87:AD87 AF81:AJ83 J81:N84 Y87:Z87 J87:K87 R84:X84 AG84:AJ84 O87:P87 V112:X112 AA112:AD112 J29:K35" name="範囲1_9"/>
    <protectedRange sqref="C90:I92" name="範囲1_2_2_2"/>
    <protectedRange sqref="D88:K88 N88" name="範囲1_8_3"/>
    <protectedRange sqref="D124:I124" name="範囲1_8_4"/>
    <protectedRange sqref="L124:N124 AA149 AD149:AK149 AB150:AD151 AF150:AJ151 C126:I151 J148:L151 M126:N144 Q124:T124 AA124:AB124 AF148:AJ148 AB148:AD148 U148:Z151 J124:K144 Q126:T144 AD124 AD126:AJ144 M146:N151 J146:K147 Q146:T151 V146:AB147 AD146:AJ147 V126:AB144" name="範囲1_10"/>
    <protectedRange sqref="J18:K19 J146:U146 L149 Y149 Q112:R112 AM94:AM95 AQ94:AT95 AE95 AB95:AC95 AB96:AF97 AM98 AQ98:AT98 AG95:AJ97 AA95:AA97 AB98:AE98 R98:U98 N98:O98 L98 AA94:AB94 X98:Y98 AH98:AJ98 AB99:AJ100 L105:U105 L28:M28 AA126:AC144 N90:N92 L112:M112 L99:U101 V106:W106 Q106:R106 L15:M15 D25 L56:M56 AA146:AC146 L36:M40 M20:M25 L20:L24 L81:M84 L87:N87 V113:Z113 V112:W112 V119:Z120" name="範囲26"/>
    <protectedRange sqref="C107:K110 Q108:X110 Q107:Y107" name="範囲1_5"/>
    <protectedRange sqref="AK19 AK17" name="範囲1_8_2_1"/>
    <protectedRange sqref="AF16:AJ19 T16 Q16:S19 T17:U19 V16:V19 Z16:Z19 W19:Y19 W16:X18 AB16:AB19 AD16:AD19 AC19 AA16:AA18" name="範囲1_9_3"/>
    <protectedRange sqref="Q26:AJ27 Q57:AJ58" name="範囲1_9_1"/>
    <protectedRange sqref="C37:I40" name="範囲1_6_1_1"/>
    <protectedRange sqref="J37:K40" name="範囲1_9_4"/>
    <protectedRange sqref="AB29:AD36 AF29:AJ36 Q29:Z36" name="範囲1_9_6"/>
    <protectedRange sqref="K41:P41" name="範囲1_8_1_1"/>
    <protectedRange sqref="J43:N43 J52:N55 AB43:AD50 AF43:AJ50 Q43:Z50 Q41:AJ42 J44:K50 AB52:AD55 AF52:AJ55 Q52:Z55" name="範囲1_9_7"/>
    <protectedRange sqref="L43:M43 L52:M55" name="範囲26_2"/>
    <protectedRange sqref="D41:I41" name="範囲1_8_1_2"/>
    <protectedRange sqref="C43:I43" name="範囲1_1_2_1_5_3"/>
    <protectedRange sqref="C45:I49 C52:I54" name="範囲1_2_2_1_5_2"/>
    <protectedRange sqref="C55:I55" name="範囲1_6_1_5_2"/>
    <protectedRange sqref="L44:L50" name="範囲14_1_2"/>
    <protectedRange sqref="O46:O49" name="範囲14_1_3"/>
    <protectedRange sqref="AB78:AD78 AF78:AJ78 Q78:Z78 J59:N59 AB59:AD61 AF59:AJ61 Q59:Z60 U62 J60:K60 J71:K71 AB71:AD71 AF71:AJ71 Q71:Z71 P62 Q61 U61:V61 R61:T62 W61:X62 J78:K78 AB80:AD80 AF80:AJ80 Q80:Z80 J80:K80" name="範囲1_9_5"/>
    <protectedRange sqref="L59:M59" name="範囲26_1"/>
    <protectedRange sqref="C59:I59" name="範囲1_1_2_1_6_1"/>
    <protectedRange sqref="C77:I77 D60:I63 C60:C62" name="範囲1_2_2_1_6_1"/>
    <protectedRange sqref="L61 J61" name="範囲14_1_5"/>
    <protectedRange sqref="K61" name="範囲1_9_2_1"/>
    <protectedRange sqref="AA62:AH62 AJ62 Y62" name="範囲1_8_2_1_1"/>
    <protectedRange sqref="Y62:AJ62" name="範囲26_1_1"/>
    <protectedRange sqref="O61" name="範囲14_1_6"/>
    <protectedRange sqref="Y61" name="範囲1_8_2_2"/>
    <protectedRange sqref="Y61:Z61" name="範囲26_2_1"/>
    <protectedRange sqref="L60" name="範囲14_1_8"/>
    <protectedRange sqref="C152:N153 Y152 AF152:AJ153 AB152:AD153 Q152:X153 Z152:Z153 D154:J154" name="範囲1_1"/>
    <protectedRange sqref="Q161:R161 K155:N159 Q155:AK155 Q156:R158 AC156:AJ156 AE161:AJ161 AC157:AK158 Q159:AF159 AI159:AT159 Q164:Z167 AB164:AD167 AF164:AJ167 C161:O161 C164:N167 C163:J163 C156:F160 G156:J158 G160:R160 G159:I159" name="範囲1_1_1"/>
    <protectedRange sqref="C155:I155 C154" name="範囲1_6_1_2"/>
    <protectedRange sqref="J155 AF154:AJ154 AB154:AD154 V154:Z154 K154 AB156:AB158 V156:Z158 AT156 AN156:AR156 AT161 AN161:AR161 AD161 X161:AB161 V160:Z160 AB160" name="範囲1_9_3_1"/>
    <protectedRange sqref="C119:I119" name="範囲1_6_1_4"/>
    <protectedRange sqref="J116:N120" name="範囲1_9_8"/>
    <protectedRange sqref="AA116:AD116 V116:Y116 Q116:T116 AF116:AI116" name="範囲1_8_2_6"/>
    <protectedRange sqref="AK116:AO116 AQ116:AS116" name="範囲1_9_12"/>
    <protectedRange sqref="Q116:AJ116" name="範囲26_6"/>
    <protectedRange sqref="AF117:AI117 AA117:AD117 V117:Y117 Q117:T117" name="範囲1_8_2_7"/>
    <protectedRange sqref="AQ117:AS117 AK117:AO117 O117:P117" name="範囲1_9_13"/>
    <protectedRange sqref="Q117:AJ117" name="範囲26_7"/>
    <protectedRange sqref="AF118:AI119 AA118:AD119 V118:Y118 Q118:T120" name="範囲1_8_2_8"/>
    <protectedRange sqref="AQ118:AS119 AK118:AO119" name="範囲1_9_14"/>
    <protectedRange sqref="AA118:AJ119 V118:Z118 Q118:U120" name="範囲26_8"/>
    <protectedRange sqref="BG64:BJ65 BG67:BJ72 BI75:BJ75 BI78:BJ80" name="範囲1_4_1"/>
    <protectedRange sqref="C63 D64:I70 C65:C70" name="範囲1_2_2_1_1"/>
    <protectedRange sqref="Q65:Y65 AB65:AE65 AG63:AH63 AP65:AS66 AJ63 AL65:AN66 Q63:X63 AC63:AE63 Q69:Y70 AB69:AE70 AC67:AE67 AL69:AN70 Q66:X67 AG67:AH67 AJ67 AG69:AH70 AJ69:AJ70 AP68:AS70 AM68:AN68 AJ65 AG65:AH65" name="範囲1_8_2_9"/>
    <protectedRange sqref="L63 O66 L69:L71 L65:L67" name="範囲14_1_1"/>
    <protectedRange sqref="J63:K63 J69:K70 J65:K67" name="範囲1_9_15"/>
    <protectedRange sqref="Q65:Z65 AB65:AE65 AL65:AT66 AG63:AJ63 Q63:X63 AC63:AE63 Q69:Z70 AB69:AE70 AC67:AE67 AL69:AT70 Q66:X67 AG67:AJ67 AG69:AJ70 AM68:AT68 AG65:AJ65" name="範囲26_9"/>
    <protectedRange sqref="Y63 AB63" name="範囲1_8_2_10"/>
    <protectedRange sqref="Y63:Z63 AB63" name="範囲26_10"/>
    <protectedRange sqref="Y67 AB67" name="範囲1_8_2_12"/>
    <protectedRange sqref="Y67:Z67 AB67" name="範囲26_12"/>
    <protectedRange sqref="AP67:AS67 AL67:AN67" name="範囲1_8_2_13"/>
    <protectedRange sqref="AL67:AT67" name="範囲26_13"/>
    <protectedRange sqref="AJ66 AG66:AH66 AB66:AE66 Y66" name="範囲1_8_2_14"/>
    <protectedRange sqref="AG66:AJ66 AB66:AE66 Y66:Z66" name="範囲26_14"/>
    <protectedRange sqref="V72:X72 Q72:S72" name="範囲1_9_17"/>
    <protectedRange sqref="Q72:R72" name="範囲26_16"/>
    <protectedRange sqref="AP45:AS45 AL45 AN45" name="範囲1_8_2_15"/>
    <protectedRange sqref="AP45:AT45 AL45 AN45" name="範囲26_15"/>
    <protectedRange sqref="AL60:AQ60 AS60" name="範囲1_8_2_16"/>
    <protectedRange sqref="AS60:AT60 AL60:AQ60" name="範囲26_17"/>
    <protectedRange sqref="AJ75 AG75:AH75 AB75:AE75 Q75:Y75" name="範囲1_8_2_17"/>
    <protectedRange sqref="L75 O75 L78 O78 L80 O80" name="範囲14_1_4"/>
    <protectedRange sqref="C75:I76" name="範囲1_6_1_6"/>
    <protectedRange sqref="J76:N76 J75:K75 V76:Z76 Q76:S76 AB76:AD76 AF76:AJ76" name="範囲1_9_16"/>
    <protectedRange sqref="L76:M76 Q76:R76 AG75:AJ75 AB75:AE75 Q75:Z75" name="範囲26_18"/>
    <protectedRange sqref="C16:I18" name="範囲1_2_2_1_2"/>
    <protectedRange sqref="C50:I51" name="範囲1_2_2_1_1_1"/>
    <protectedRange sqref="L51" name="範囲14_1_2_1"/>
    <protectedRange sqref="J51:K51" name="範囲1_9_1_1"/>
    <protectedRange sqref="Q51:T51 AA51:AH51 AJ51 V51:X51" name="範囲1_8_2_18"/>
    <protectedRange sqref="Q51:X51 AA51:AJ51" name="範囲26_19"/>
    <protectedRange sqref="O51 Y51" name="範囲14_1_2_2"/>
    <protectedRange sqref="C73:I74" name="範囲1_2_2_1_6_1_1"/>
    <protectedRange sqref="C71:I72" name="範囲1_2_2_1_1_2"/>
    <protectedRange sqref="V73:Z74 Q73:S74 AB73:AD74 J73:N74 AF73:AJ74" name="範囲1_9_17_1"/>
    <protectedRange sqref="Q73:R74 L73:M74" name="範囲26_16_1"/>
    <protectedRange sqref="J72:N72" name="範囲1_9_17_2"/>
    <protectedRange sqref="L72:M72" name="範囲26_16_2"/>
    <protectedRange sqref="Y72:Z72 AB72:AD72 AF72:AJ72" name="範囲1_9_17_3"/>
    <protectedRange sqref="J77:N77 V77:Z77 Q77:S77 AB77:AD77 AF77:AJ77" name="範囲1_9_18"/>
    <protectedRange sqref="L77:M77 Q77:R77" name="範囲26_20"/>
    <protectedRange sqref="V124:Z124" name="範囲1_10_2"/>
    <protectedRange sqref="AE124:AJ124" name="範囲1_10_3"/>
    <protectedRange sqref="M145:N145 J145:K145 Q145:T145 V145:AB145 AD145:AJ145" name="範囲1_10_1"/>
    <protectedRange sqref="J145:U145 AA145:AC145" name="範囲26_21"/>
    <protectedRange sqref="J62 L62" name="範囲14_1_7"/>
    <protectedRange sqref="K62" name="範囲1_9_20"/>
    <protectedRange sqref="C80:I80" name="範囲1_6_1_2_1"/>
    <protectedRange sqref="C78:I79" name="範囲1_6_1_7"/>
    <protectedRange sqref="AL78:AN78 AP78:AS78" name="範囲1_8_2_2_1"/>
    <protectedRange sqref="AL78:AT78" name="範囲26_5"/>
    <protectedRange sqref="AL63:AN63 AP63:AS63" name="範囲1_8_2_3"/>
    <protectedRange sqref="AL63:AT63" name="範囲26_3"/>
    <protectedRange sqref="V79:Z79 Q79:S79 AB79:AD79 J79:N79 AF79:AJ79" name="範囲1_9_9"/>
    <protectedRange sqref="Q79:R79 L79:M79" name="範囲26_4"/>
    <protectedRange sqref="AK30" name="範囲1_9_6_1"/>
    <protectedRange sqref="D89:I89" name="範囲1_8_3_1"/>
    <protectedRange sqref="N89" name="範囲26_11"/>
    <protectedRange sqref="C44:I44" name="範囲1_2_2_1_3"/>
    <protectedRange sqref="Q13:V14 Z13:AJ14 W14:Y14 W13:X13" name="範囲1_9_2_2"/>
    <protectedRange sqref="AB181:AD185 AF181:AJ185 Q181:Z185 K181:N185" name="範囲1_2"/>
    <protectedRange sqref="D188:N188 AB188:AD195 Q188:Z195 AF188:AJ195 C189:N195" name="範囲1_3"/>
    <protectedRange sqref="AP62:AS62 AL62:AN62" name="範囲1_8_2_1_1_1"/>
    <protectedRange sqref="AK62:AS62" name="範囲26_1_1_1"/>
  </protectedRanges>
  <mergeCells count="809">
    <mergeCell ref="C121:U121"/>
    <mergeCell ref="V121:Z121"/>
    <mergeCell ref="AA121:AB121"/>
    <mergeCell ref="AC121:AT121"/>
    <mergeCell ref="C154:J158"/>
    <mergeCell ref="G159:J159"/>
    <mergeCell ref="V112:AB112"/>
    <mergeCell ref="AE147:AJ147"/>
    <mergeCell ref="AA146:AC146"/>
    <mergeCell ref="K149:L151"/>
    <mergeCell ref="AB152:AC152"/>
    <mergeCell ref="AE152:AF152"/>
    <mergeCell ref="K152:X153"/>
    <mergeCell ref="AK152:AT152"/>
    <mergeCell ref="AK141:AT141"/>
    <mergeCell ref="AE141:AJ141"/>
    <mergeCell ref="C152:H153"/>
    <mergeCell ref="AE129:AJ129"/>
    <mergeCell ref="AE130:AJ130"/>
    <mergeCell ref="V137:Y137"/>
    <mergeCell ref="V136:Y136"/>
    <mergeCell ref="V135:Y135"/>
    <mergeCell ref="V134:Y134"/>
    <mergeCell ref="AA131:AC131"/>
    <mergeCell ref="L89:N89"/>
    <mergeCell ref="O89:AT89"/>
    <mergeCell ref="C114:I120"/>
    <mergeCell ref="J120:U120"/>
    <mergeCell ref="V120:Z120"/>
    <mergeCell ref="AP148:AR148"/>
    <mergeCell ref="AE144:AJ144"/>
    <mergeCell ref="C149:J151"/>
    <mergeCell ref="J142:U142"/>
    <mergeCell ref="V147:Z147"/>
    <mergeCell ref="J143:U143"/>
    <mergeCell ref="J144:U144"/>
    <mergeCell ref="V146:Y146"/>
    <mergeCell ref="V145:Y145"/>
    <mergeCell ref="AE135:AJ135"/>
    <mergeCell ref="AE136:AJ136"/>
    <mergeCell ref="AA128:AC128"/>
    <mergeCell ref="AA116:AB116"/>
    <mergeCell ref="V128:Y128"/>
    <mergeCell ref="V127:Y127"/>
    <mergeCell ref="V148:AJ148"/>
    <mergeCell ref="AI149:AJ151"/>
    <mergeCell ref="AK149:AT151"/>
    <mergeCell ref="AK140:AT140"/>
    <mergeCell ref="AK15:AN15"/>
    <mergeCell ref="AO15:AT15"/>
    <mergeCell ref="AK147:AT147"/>
    <mergeCell ref="J145:U145"/>
    <mergeCell ref="AA138:AC138"/>
    <mergeCell ref="AE139:AJ139"/>
    <mergeCell ref="AE140:AJ140"/>
    <mergeCell ref="C108:K108"/>
    <mergeCell ref="AC95:AF95"/>
    <mergeCell ref="AK144:AT144"/>
    <mergeCell ref="AE134:AJ134"/>
    <mergeCell ref="AA140:AC140"/>
    <mergeCell ref="AK139:AT139"/>
    <mergeCell ref="J133:U133"/>
    <mergeCell ref="J135:U135"/>
    <mergeCell ref="J139:U139"/>
    <mergeCell ref="AK145:AT145"/>
    <mergeCell ref="V144:Y144"/>
    <mergeCell ref="AE146:AJ146"/>
    <mergeCell ref="J147:U147"/>
    <mergeCell ref="AE142:AJ142"/>
    <mergeCell ref="AA142:AC142"/>
    <mergeCell ref="AE145:AJ145"/>
    <mergeCell ref="AE143:AJ143"/>
    <mergeCell ref="K160:P160"/>
    <mergeCell ref="Y165:AB165"/>
    <mergeCell ref="Y164:AB164"/>
    <mergeCell ref="K156:P156"/>
    <mergeCell ref="K154:P154"/>
    <mergeCell ref="S154:V154"/>
    <mergeCell ref="Y154:AB154"/>
    <mergeCell ref="S156:V156"/>
    <mergeCell ref="AA143:AC143"/>
    <mergeCell ref="AA144:AC144"/>
    <mergeCell ref="S158:U158"/>
    <mergeCell ref="X158:Z158"/>
    <mergeCell ref="AC158:AE158"/>
    <mergeCell ref="Q155:AH155"/>
    <mergeCell ref="K157:P157"/>
    <mergeCell ref="K158:P158"/>
    <mergeCell ref="K159:P159"/>
    <mergeCell ref="AC164:AF164"/>
    <mergeCell ref="M149:V151"/>
    <mergeCell ref="W149:X151"/>
    <mergeCell ref="Y149:AH151"/>
    <mergeCell ref="AG152:AJ152"/>
    <mergeCell ref="Y152:Z153"/>
    <mergeCell ref="K155:P155"/>
    <mergeCell ref="AK161:AN161"/>
    <mergeCell ref="AQ161:AT161"/>
    <mergeCell ref="AK156:AN156"/>
    <mergeCell ref="AE161:AH161"/>
    <mergeCell ref="AK159:AT159"/>
    <mergeCell ref="AA161:AD161"/>
    <mergeCell ref="S160:V160"/>
    <mergeCell ref="AC156:AH156"/>
    <mergeCell ref="AC159:AJ159"/>
    <mergeCell ref="Y157:AB157"/>
    <mergeCell ref="S157:V157"/>
    <mergeCell ref="Y159:AB159"/>
    <mergeCell ref="AQ156:AT156"/>
    <mergeCell ref="S159:V159"/>
    <mergeCell ref="Y160:AB160"/>
    <mergeCell ref="C208:M209"/>
    <mergeCell ref="R208:U209"/>
    <mergeCell ref="R206:U207"/>
    <mergeCell ref="Y166:AB166"/>
    <mergeCell ref="C202:M205"/>
    <mergeCell ref="C206:M207"/>
    <mergeCell ref="R202:U205"/>
    <mergeCell ref="R200:U201"/>
    <mergeCell ref="N208:Q209"/>
    <mergeCell ref="N206:Q207"/>
    <mergeCell ref="N202:Q205"/>
    <mergeCell ref="K176:AT176"/>
    <mergeCell ref="V208:AT209"/>
    <mergeCell ref="K183:AT183"/>
    <mergeCell ref="L184:O184"/>
    <mergeCell ref="P184:S184"/>
    <mergeCell ref="L185:O185"/>
    <mergeCell ref="P185:S185"/>
    <mergeCell ref="C189:AT189"/>
    <mergeCell ref="C190:AT190"/>
    <mergeCell ref="C191:AT191"/>
    <mergeCell ref="C192:AT192"/>
    <mergeCell ref="C193:AT193"/>
    <mergeCell ref="C194:AT194"/>
    <mergeCell ref="BM27:BM28"/>
    <mergeCell ref="BL27:BL28"/>
    <mergeCell ref="AC36:AF36"/>
    <mergeCell ref="AG34:AJ34"/>
    <mergeCell ref="AG33:AJ33"/>
    <mergeCell ref="BM31:BM32"/>
    <mergeCell ref="AG30:AJ30"/>
    <mergeCell ref="BL37:BL38"/>
    <mergeCell ref="BM37:BM38"/>
    <mergeCell ref="AG29:AJ29"/>
    <mergeCell ref="AK26:AT27"/>
    <mergeCell ref="AG26:AJ27"/>
    <mergeCell ref="AC26:AF27"/>
    <mergeCell ref="BL33:BL34"/>
    <mergeCell ref="BL31:BL32"/>
    <mergeCell ref="AG31:AJ31"/>
    <mergeCell ref="AC34:AF34"/>
    <mergeCell ref="AP31:AR31"/>
    <mergeCell ref="AS31:AT31"/>
    <mergeCell ref="AK29:AM29"/>
    <mergeCell ref="AN29:AO29"/>
    <mergeCell ref="Y163:AB163"/>
    <mergeCell ref="Y167:AB167"/>
    <mergeCell ref="Q166:X166"/>
    <mergeCell ref="Q165:X165"/>
    <mergeCell ref="Q164:X164"/>
    <mergeCell ref="N199:Q199"/>
    <mergeCell ref="K164:P167"/>
    <mergeCell ref="C200:M201"/>
    <mergeCell ref="C163:J167"/>
    <mergeCell ref="C174:J175"/>
    <mergeCell ref="V199:AT199"/>
    <mergeCell ref="R199:U199"/>
    <mergeCell ref="AC165:AF165"/>
    <mergeCell ref="V200:AT207"/>
    <mergeCell ref="AC163:AF163"/>
    <mergeCell ref="AC167:AF167"/>
    <mergeCell ref="AC166:AF166"/>
    <mergeCell ref="Q167:X167"/>
    <mergeCell ref="N200:Q201"/>
    <mergeCell ref="K174:AT174"/>
    <mergeCell ref="K175:AT175"/>
    <mergeCell ref="C181:J182"/>
    <mergeCell ref="K181:AT181"/>
    <mergeCell ref="K182:AT182"/>
    <mergeCell ref="K161:N161"/>
    <mergeCell ref="O161:R161"/>
    <mergeCell ref="U161:X161"/>
    <mergeCell ref="Y156:AB156"/>
    <mergeCell ref="J141:U141"/>
    <mergeCell ref="C109:K109"/>
    <mergeCell ref="C110:K110"/>
    <mergeCell ref="C126:I147"/>
    <mergeCell ref="J128:U128"/>
    <mergeCell ref="V109:Z109"/>
    <mergeCell ref="V126:Y126"/>
    <mergeCell ref="V133:Y133"/>
    <mergeCell ref="Q109:U109"/>
    <mergeCell ref="V143:Y143"/>
    <mergeCell ref="V142:Y142"/>
    <mergeCell ref="V141:Y141"/>
    <mergeCell ref="V140:Y140"/>
    <mergeCell ref="V139:Y139"/>
    <mergeCell ref="K112:U112"/>
    <mergeCell ref="Q110:U110"/>
    <mergeCell ref="J119:U119"/>
    <mergeCell ref="J118:U118"/>
    <mergeCell ref="AA118:AB118"/>
    <mergeCell ref="J140:U140"/>
    <mergeCell ref="AA139:AC139"/>
    <mergeCell ref="AK129:AT129"/>
    <mergeCell ref="AA129:AC129"/>
    <mergeCell ref="AK130:AT130"/>
    <mergeCell ref="AK131:AT131"/>
    <mergeCell ref="AA130:AC130"/>
    <mergeCell ref="AE132:AJ132"/>
    <mergeCell ref="AD109:AG109"/>
    <mergeCell ref="V117:Z117"/>
    <mergeCell ref="AK128:AT128"/>
    <mergeCell ref="AE126:AJ126"/>
    <mergeCell ref="AA134:AC134"/>
    <mergeCell ref="AK137:AT137"/>
    <mergeCell ref="AK138:AT138"/>
    <mergeCell ref="AA135:AC135"/>
    <mergeCell ref="AE133:AJ133"/>
    <mergeCell ref="AK136:AT136"/>
    <mergeCell ref="AA137:AC137"/>
    <mergeCell ref="AK135:AT135"/>
    <mergeCell ref="AK127:AT127"/>
    <mergeCell ref="AE131:AJ131"/>
    <mergeCell ref="V131:Y131"/>
    <mergeCell ref="V130:Y130"/>
    <mergeCell ref="V129:Y129"/>
    <mergeCell ref="U41:X42"/>
    <mergeCell ref="Y70:AB70"/>
    <mergeCell ref="AC70:AF70"/>
    <mergeCell ref="Y51:Z51"/>
    <mergeCell ref="AA51:AJ51"/>
    <mergeCell ref="AG49:AJ49"/>
    <mergeCell ref="AG44:AJ44"/>
    <mergeCell ref="AC67:AF67"/>
    <mergeCell ref="Y71:AB71"/>
    <mergeCell ref="AC71:AF71"/>
    <mergeCell ref="AC49:AF49"/>
    <mergeCell ref="Y66:AB66"/>
    <mergeCell ref="AD66:AF66"/>
    <mergeCell ref="Y67:AB67"/>
    <mergeCell ref="Y61:Z61"/>
    <mergeCell ref="U62:X62"/>
    <mergeCell ref="AC44:AF44"/>
    <mergeCell ref="AC65:AF65"/>
    <mergeCell ref="Y50:AB50"/>
    <mergeCell ref="AC50:AF50"/>
    <mergeCell ref="Y45:AB45"/>
    <mergeCell ref="AC45:AF45"/>
    <mergeCell ref="Y52:AB52"/>
    <mergeCell ref="AC52:AF52"/>
    <mergeCell ref="Q108:U108"/>
    <mergeCell ref="V110:Z110"/>
    <mergeCell ref="AA117:AB117"/>
    <mergeCell ref="AK124:AT125"/>
    <mergeCell ref="AK126:AT126"/>
    <mergeCell ref="V113:Z113"/>
    <mergeCell ref="M122:AT123"/>
    <mergeCell ref="V119:Z119"/>
    <mergeCell ref="V118:Z118"/>
    <mergeCell ref="J116:U116"/>
    <mergeCell ref="J115:U115"/>
    <mergeCell ref="J114:U114"/>
    <mergeCell ref="AE124:AJ125"/>
    <mergeCell ref="AA113:AB113"/>
    <mergeCell ref="AA114:AB114"/>
    <mergeCell ref="AA115:AB115"/>
    <mergeCell ref="J117:U117"/>
    <mergeCell ref="C124:U125"/>
    <mergeCell ref="V124:Z125"/>
    <mergeCell ref="V116:Z116"/>
    <mergeCell ref="V115:Z115"/>
    <mergeCell ref="V114:Z114"/>
    <mergeCell ref="L108:P108"/>
    <mergeCell ref="C112:I112"/>
    <mergeCell ref="J94:K95"/>
    <mergeCell ref="C91:M92"/>
    <mergeCell ref="J97:K97"/>
    <mergeCell ref="J96:K96"/>
    <mergeCell ref="AG71:AJ71"/>
    <mergeCell ref="V87:X87"/>
    <mergeCell ref="AG69:AJ69"/>
    <mergeCell ref="Y69:AB69"/>
    <mergeCell ref="AC63:AF63"/>
    <mergeCell ref="Q71:T71"/>
    <mergeCell ref="Y76:Z76"/>
    <mergeCell ref="AA76:AL76"/>
    <mergeCell ref="AG63:AJ63"/>
    <mergeCell ref="AG65:AJ65"/>
    <mergeCell ref="Q70:T70"/>
    <mergeCell ref="C96:I96"/>
    <mergeCell ref="C94:I95"/>
    <mergeCell ref="L96:P96"/>
    <mergeCell ref="AK85:AL85"/>
    <mergeCell ref="AI85:AJ85"/>
    <mergeCell ref="V83:X83"/>
    <mergeCell ref="V82:X82"/>
    <mergeCell ref="Q75:T75"/>
    <mergeCell ref="U75:X75"/>
    <mergeCell ref="J126:U126"/>
    <mergeCell ref="J127:U127"/>
    <mergeCell ref="AA136:AC136"/>
    <mergeCell ref="AA127:AC127"/>
    <mergeCell ref="AE127:AJ127"/>
    <mergeCell ref="AE128:AJ128"/>
    <mergeCell ref="AE137:AJ137"/>
    <mergeCell ref="J132:U132"/>
    <mergeCell ref="J138:U138"/>
    <mergeCell ref="AE138:AJ138"/>
    <mergeCell ref="J134:U134"/>
    <mergeCell ref="J129:U129"/>
    <mergeCell ref="V138:Y138"/>
    <mergeCell ref="V132:Y132"/>
    <mergeCell ref="AA133:AC133"/>
    <mergeCell ref="J130:U130"/>
    <mergeCell ref="J131:U131"/>
    <mergeCell ref="J136:U136"/>
    <mergeCell ref="C113:I113"/>
    <mergeCell ref="C107:K107"/>
    <mergeCell ref="O100:P100"/>
    <mergeCell ref="L107:P107"/>
    <mergeCell ref="V108:Z108"/>
    <mergeCell ref="O86:P86"/>
    <mergeCell ref="Q86:R86"/>
    <mergeCell ref="S86:T86"/>
    <mergeCell ref="AA86:AB86"/>
    <mergeCell ref="C89:I89"/>
    <mergeCell ref="V107:Z107"/>
    <mergeCell ref="C106:P106"/>
    <mergeCell ref="Q106:U106"/>
    <mergeCell ref="Q107:U107"/>
    <mergeCell ref="V106:Z106"/>
    <mergeCell ref="C98:G100"/>
    <mergeCell ref="H100:K100"/>
    <mergeCell ref="H98:K98"/>
    <mergeCell ref="C97:I97"/>
    <mergeCell ref="L102:AT104"/>
    <mergeCell ref="H99:K99"/>
    <mergeCell ref="L100:N100"/>
    <mergeCell ref="U97:X97"/>
    <mergeCell ref="Y94:AF94"/>
    <mergeCell ref="C84:I87"/>
    <mergeCell ref="J61:N61"/>
    <mergeCell ref="Q82:S82"/>
    <mergeCell ref="J84:N84"/>
    <mergeCell ref="J85:N86"/>
    <mergeCell ref="J87:N87"/>
    <mergeCell ref="AK86:AL86"/>
    <mergeCell ref="AM86:AN86"/>
    <mergeCell ref="AO86:AP86"/>
    <mergeCell ref="AG85:AH85"/>
    <mergeCell ref="AE85:AF85"/>
    <mergeCell ref="AC85:AD85"/>
    <mergeCell ref="AG80:AJ80"/>
    <mergeCell ref="Q80:T80"/>
    <mergeCell ref="AA85:AB85"/>
    <mergeCell ref="Y85:Z85"/>
    <mergeCell ref="V84:AC84"/>
    <mergeCell ref="AG70:AJ70"/>
    <mergeCell ref="U69:X69"/>
    <mergeCell ref="W85:X85"/>
    <mergeCell ref="L67:N67"/>
    <mergeCell ref="C82:I83"/>
    <mergeCell ref="C75:I77"/>
    <mergeCell ref="Y82:AT82"/>
    <mergeCell ref="J83:N83"/>
    <mergeCell ref="J82:N82"/>
    <mergeCell ref="C80:I80"/>
    <mergeCell ref="L80:N80"/>
    <mergeCell ref="O80:P80"/>
    <mergeCell ref="G47:I47"/>
    <mergeCell ref="C49:E49"/>
    <mergeCell ref="C65:I66"/>
    <mergeCell ref="P62:S62"/>
    <mergeCell ref="J64:N64"/>
    <mergeCell ref="O64:X64"/>
    <mergeCell ref="L57:N58"/>
    <mergeCell ref="Q60:T60"/>
    <mergeCell ref="U50:X50"/>
    <mergeCell ref="C67:I70"/>
    <mergeCell ref="J68:N68"/>
    <mergeCell ref="L69:N69"/>
    <mergeCell ref="J72:N72"/>
    <mergeCell ref="J79:N79"/>
    <mergeCell ref="O79:V79"/>
    <mergeCell ref="W79:Z79"/>
    <mergeCell ref="O75:P75"/>
    <mergeCell ref="O71:P71"/>
    <mergeCell ref="L71:N71"/>
    <mergeCell ref="AM45:AO45"/>
    <mergeCell ref="AP45:AT45"/>
    <mergeCell ref="AG47:AJ47"/>
    <mergeCell ref="AG45:AJ45"/>
    <mergeCell ref="C47:E47"/>
    <mergeCell ref="C50:I51"/>
    <mergeCell ref="L50:N50"/>
    <mergeCell ref="O50:P50"/>
    <mergeCell ref="J51:N51"/>
    <mergeCell ref="O51:P51"/>
    <mergeCell ref="C45:I45"/>
    <mergeCell ref="L45:N45"/>
    <mergeCell ref="O45:P45"/>
    <mergeCell ref="Y64:Z64"/>
    <mergeCell ref="AA64:AL64"/>
    <mergeCell ref="U65:X65"/>
    <mergeCell ref="Q57:T58"/>
    <mergeCell ref="Y48:AB48"/>
    <mergeCell ref="AC60:AF60"/>
    <mergeCell ref="AC48:AF48"/>
    <mergeCell ref="Y49:AB49"/>
    <mergeCell ref="AA61:AS61"/>
    <mergeCell ref="AS60:AT60"/>
    <mergeCell ref="Q50:T50"/>
    <mergeCell ref="U95:X95"/>
    <mergeCell ref="O76:X76"/>
    <mergeCell ref="Y80:AB80"/>
    <mergeCell ref="U80:X80"/>
    <mergeCell ref="O78:P78"/>
    <mergeCell ref="L94:P95"/>
    <mergeCell ref="AK67:AT67"/>
    <mergeCell ref="BM47:BM49"/>
    <mergeCell ref="Q83:S83"/>
    <mergeCell ref="BL94:BL95"/>
    <mergeCell ref="Y83:AT83"/>
    <mergeCell ref="AG78:AJ78"/>
    <mergeCell ref="AG94:AT95"/>
    <mergeCell ref="AK70:AT70"/>
    <mergeCell ref="AG75:AJ75"/>
    <mergeCell ref="AC80:AF80"/>
    <mergeCell ref="BL47:BL49"/>
    <mergeCell ref="AO85:AP85"/>
    <mergeCell ref="Y57:AB58"/>
    <mergeCell ref="U78:X78"/>
    <mergeCell ref="U77:X77"/>
    <mergeCell ref="Y95:AB95"/>
    <mergeCell ref="Y72:AB72"/>
    <mergeCell ref="AI72:AM72"/>
    <mergeCell ref="AQ86:AR86"/>
    <mergeCell ref="U86:V86"/>
    <mergeCell ref="W86:X86"/>
    <mergeCell ref="BL96:BL98"/>
    <mergeCell ref="BM29:BM30"/>
    <mergeCell ref="BL29:BL30"/>
    <mergeCell ref="BM96:BM98"/>
    <mergeCell ref="Y30:AB30"/>
    <mergeCell ref="AC30:AF30"/>
    <mergeCell ref="BM33:BM34"/>
    <mergeCell ref="BL35:BL36"/>
    <mergeCell ref="BM35:BM36"/>
    <mergeCell ref="Y47:AB47"/>
    <mergeCell ref="AC47:AF47"/>
    <mergeCell ref="AG60:AJ60"/>
    <mergeCell ref="AC57:AF58"/>
    <mergeCell ref="AG57:AJ58"/>
    <mergeCell ref="R91:AT92"/>
    <mergeCell ref="R88:AT88"/>
    <mergeCell ref="Q96:T96"/>
    <mergeCell ref="Q47:T49"/>
    <mergeCell ref="U47:X49"/>
    <mergeCell ref="Y34:AB34"/>
    <mergeCell ref="Q65:T65"/>
    <mergeCell ref="AQ85:AR85"/>
    <mergeCell ref="Y86:Z86"/>
    <mergeCell ref="BM94:BM95"/>
    <mergeCell ref="C213:AT214"/>
    <mergeCell ref="C199:M199"/>
    <mergeCell ref="AK132:AT132"/>
    <mergeCell ref="AK133:AT133"/>
    <mergeCell ref="J146:U146"/>
    <mergeCell ref="AK134:AT134"/>
    <mergeCell ref="AA126:AC126"/>
    <mergeCell ref="AA132:AC132"/>
    <mergeCell ref="C88:M88"/>
    <mergeCell ref="N88:Q88"/>
    <mergeCell ref="AA124:AD125"/>
    <mergeCell ref="Q97:T97"/>
    <mergeCell ref="L109:P109"/>
    <mergeCell ref="J137:U137"/>
    <mergeCell ref="AK142:AT142"/>
    <mergeCell ref="AA141:AC141"/>
    <mergeCell ref="AA145:AC145"/>
    <mergeCell ref="L110:P110"/>
    <mergeCell ref="AA109:AC109"/>
    <mergeCell ref="AK143:AT143"/>
    <mergeCell ref="AK148:AO148"/>
    <mergeCell ref="AK146:AT146"/>
    <mergeCell ref="I152:J153"/>
    <mergeCell ref="AA153:AT153"/>
    <mergeCell ref="AC3:AE3"/>
    <mergeCell ref="AI3:AK3"/>
    <mergeCell ref="Y5:Z5"/>
    <mergeCell ref="W3:Y3"/>
    <mergeCell ref="AL4:AO4"/>
    <mergeCell ref="AG4:AK4"/>
    <mergeCell ref="AL5:AO5"/>
    <mergeCell ref="AH8:AJ8"/>
    <mergeCell ref="Y8:AE8"/>
    <mergeCell ref="I3:K3"/>
    <mergeCell ref="J13:K14"/>
    <mergeCell ref="C13:I14"/>
    <mergeCell ref="C3:H3"/>
    <mergeCell ref="I4:K4"/>
    <mergeCell ref="T3:V3"/>
    <mergeCell ref="L3:Q3"/>
    <mergeCell ref="R3:S3"/>
    <mergeCell ref="Z3:AB3"/>
    <mergeCell ref="J5:K5"/>
    <mergeCell ref="M11:AT12"/>
    <mergeCell ref="AK13:AT14"/>
    <mergeCell ref="O13:P14"/>
    <mergeCell ref="AP3:AT3"/>
    <mergeCell ref="AP4:AT4"/>
    <mergeCell ref="AP5:AT5"/>
    <mergeCell ref="V5:W5"/>
    <mergeCell ref="AL8:AN8"/>
    <mergeCell ref="AP8:AR8"/>
    <mergeCell ref="AL3:AO3"/>
    <mergeCell ref="AC4:AF4"/>
    <mergeCell ref="AE5:AF5"/>
    <mergeCell ref="AH5:AI5"/>
    <mergeCell ref="AF3:AH3"/>
    <mergeCell ref="AG41:AJ42"/>
    <mergeCell ref="AC41:AF42"/>
    <mergeCell ref="AP33:AR33"/>
    <mergeCell ref="Y33:AB33"/>
    <mergeCell ref="U35:X35"/>
    <mergeCell ref="AK33:AM33"/>
    <mergeCell ref="Q61:X61"/>
    <mergeCell ref="Q63:T63"/>
    <mergeCell ref="U63:X63"/>
    <mergeCell ref="U57:X58"/>
    <mergeCell ref="AP34:AR34"/>
    <mergeCell ref="AN35:AO35"/>
    <mergeCell ref="AP35:AR35"/>
    <mergeCell ref="AO44:AQ44"/>
    <mergeCell ref="AR44:AT44"/>
    <mergeCell ref="U36:X36"/>
    <mergeCell ref="AS34:AT34"/>
    <mergeCell ref="AK34:AM34"/>
    <mergeCell ref="AN34:AO34"/>
    <mergeCell ref="Q52:T52"/>
    <mergeCell ref="U52:X52"/>
    <mergeCell ref="U60:X60"/>
    <mergeCell ref="Y60:AB60"/>
    <mergeCell ref="Y63:AB63"/>
    <mergeCell ref="C4:H4"/>
    <mergeCell ref="L4:AB4"/>
    <mergeCell ref="S5:T5"/>
    <mergeCell ref="M5:N5"/>
    <mergeCell ref="P5:Q5"/>
    <mergeCell ref="Q34:T34"/>
    <mergeCell ref="C5:H5"/>
    <mergeCell ref="AB5:AC5"/>
    <mergeCell ref="C8:I8"/>
    <mergeCell ref="J8:K8"/>
    <mergeCell ref="L8:N8"/>
    <mergeCell ref="P8:R8"/>
    <mergeCell ref="T8:V8"/>
    <mergeCell ref="C15:I15"/>
    <mergeCell ref="AC31:AF31"/>
    <mergeCell ref="AC33:AF33"/>
    <mergeCell ref="O29:P29"/>
    <mergeCell ref="L29:N29"/>
    <mergeCell ref="N22:T22"/>
    <mergeCell ref="AF8:AG8"/>
    <mergeCell ref="L16:N16"/>
    <mergeCell ref="O17:P17"/>
    <mergeCell ref="C17:I17"/>
    <mergeCell ref="C18:I18"/>
    <mergeCell ref="C16:I16"/>
    <mergeCell ref="C19:I19"/>
    <mergeCell ref="C33:I33"/>
    <mergeCell ref="Y29:AB29"/>
    <mergeCell ref="U21:AT21"/>
    <mergeCell ref="U31:X31"/>
    <mergeCell ref="Y31:AB31"/>
    <mergeCell ref="AP29:AR29"/>
    <mergeCell ref="AS29:AT29"/>
    <mergeCell ref="U33:X33"/>
    <mergeCell ref="O33:P33"/>
    <mergeCell ref="AN31:AO31"/>
    <mergeCell ref="AN33:AO33"/>
    <mergeCell ref="AK19:AO19"/>
    <mergeCell ref="AP30:AR30"/>
    <mergeCell ref="AS30:AT30"/>
    <mergeCell ref="J26:K27"/>
    <mergeCell ref="AK30:AM30"/>
    <mergeCell ref="AN30:AO30"/>
    <mergeCell ref="AK31:AM31"/>
    <mergeCell ref="AS33:AT33"/>
    <mergeCell ref="Q31:T31"/>
    <mergeCell ref="U26:X27"/>
    <mergeCell ref="L31:N31"/>
    <mergeCell ref="AG99:AH100"/>
    <mergeCell ref="Q100:X100"/>
    <mergeCell ref="L97:P97"/>
    <mergeCell ref="L99:N99"/>
    <mergeCell ref="Y100:AF100"/>
    <mergeCell ref="AG86:AH86"/>
    <mergeCell ref="O99:P99"/>
    <mergeCell ref="AE86:AF86"/>
    <mergeCell ref="Q87:S87"/>
    <mergeCell ref="AG96:AT97"/>
    <mergeCell ref="AD96:AF96"/>
    <mergeCell ref="AI99:AT100"/>
    <mergeCell ref="L98:N98"/>
    <mergeCell ref="O98:P98"/>
    <mergeCell ref="Q98:X98"/>
    <mergeCell ref="Y98:AF98"/>
    <mergeCell ref="AC97:AE97"/>
    <mergeCell ref="AI86:AJ86"/>
    <mergeCell ref="Q99:X99"/>
    <mergeCell ref="Y99:AF99"/>
    <mergeCell ref="Q94:X94"/>
    <mergeCell ref="U96:X96"/>
    <mergeCell ref="Y97:AA97"/>
    <mergeCell ref="Y96:AC96"/>
    <mergeCell ref="BM11:BM23"/>
    <mergeCell ref="L17:N17"/>
    <mergeCell ref="AQ19:AT19"/>
    <mergeCell ref="BL11:BL23"/>
    <mergeCell ref="N21:T21"/>
    <mergeCell ref="U20:AT20"/>
    <mergeCell ref="N20:T20"/>
    <mergeCell ref="AP18:AR18"/>
    <mergeCell ref="AK18:AO18"/>
    <mergeCell ref="AS18:AT18"/>
    <mergeCell ref="L13:N14"/>
    <mergeCell ref="O19:P19"/>
    <mergeCell ref="U22:AT22"/>
    <mergeCell ref="U23:AT23"/>
    <mergeCell ref="O18:P18"/>
    <mergeCell ref="AK17:AO17"/>
    <mergeCell ref="N23:T23"/>
    <mergeCell ref="Q13:S14"/>
    <mergeCell ref="T13:V14"/>
    <mergeCell ref="W13:Z14"/>
    <mergeCell ref="AA13:AD14"/>
    <mergeCell ref="AE13:AG14"/>
    <mergeCell ref="AH13:AJ14"/>
    <mergeCell ref="AH18:AJ18"/>
    <mergeCell ref="Q36:T36"/>
    <mergeCell ref="Y35:AB35"/>
    <mergeCell ref="Y36:AB36"/>
    <mergeCell ref="O16:P16"/>
    <mergeCell ref="L18:N18"/>
    <mergeCell ref="L19:N19"/>
    <mergeCell ref="L21:M21"/>
    <mergeCell ref="O31:P31"/>
    <mergeCell ref="U29:X29"/>
    <mergeCell ref="L33:N33"/>
    <mergeCell ref="U34:X34"/>
    <mergeCell ref="Q16:S18"/>
    <mergeCell ref="T16:V18"/>
    <mergeCell ref="C30:I30"/>
    <mergeCell ref="AG19:AJ19"/>
    <mergeCell ref="C29:I29"/>
    <mergeCell ref="AC29:AF29"/>
    <mergeCell ref="J30:K30"/>
    <mergeCell ref="C20:K23"/>
    <mergeCell ref="C28:I28"/>
    <mergeCell ref="C26:I27"/>
    <mergeCell ref="AC19:AF19"/>
    <mergeCell ref="Y26:AB27"/>
    <mergeCell ref="L20:M20"/>
    <mergeCell ref="L23:M23"/>
    <mergeCell ref="L22:M22"/>
    <mergeCell ref="Q26:T27"/>
    <mergeCell ref="O30:P30"/>
    <mergeCell ref="Q30:T30"/>
    <mergeCell ref="O26:P27"/>
    <mergeCell ref="L30:N30"/>
    <mergeCell ref="J29:K29"/>
    <mergeCell ref="Q29:T29"/>
    <mergeCell ref="Y19:AB19"/>
    <mergeCell ref="U30:X30"/>
    <mergeCell ref="L26:N27"/>
    <mergeCell ref="C35:I35"/>
    <mergeCell ref="L35:N35"/>
    <mergeCell ref="O35:P35"/>
    <mergeCell ref="AK35:AM35"/>
    <mergeCell ref="O70:P70"/>
    <mergeCell ref="J66:N66"/>
    <mergeCell ref="Y41:AB42"/>
    <mergeCell ref="C63:I64"/>
    <mergeCell ref="AG35:AJ35"/>
    <mergeCell ref="AK44:AN44"/>
    <mergeCell ref="AG36:AJ36"/>
    <mergeCell ref="Y44:AB44"/>
    <mergeCell ref="L63:N63"/>
    <mergeCell ref="U70:X70"/>
    <mergeCell ref="O61:P61"/>
    <mergeCell ref="U45:X45"/>
    <mergeCell ref="O57:P58"/>
    <mergeCell ref="Q69:T69"/>
    <mergeCell ref="O63:P63"/>
    <mergeCell ref="O46:P46"/>
    <mergeCell ref="AC35:AF35"/>
    <mergeCell ref="L70:N70"/>
    <mergeCell ref="AK41:AT42"/>
    <mergeCell ref="AS35:AT35"/>
    <mergeCell ref="C31:I32"/>
    <mergeCell ref="J32:N32"/>
    <mergeCell ref="O32:T32"/>
    <mergeCell ref="C43:I43"/>
    <mergeCell ref="C44:I44"/>
    <mergeCell ref="Q41:T42"/>
    <mergeCell ref="Q35:T35"/>
    <mergeCell ref="L47:N49"/>
    <mergeCell ref="O60:P60"/>
    <mergeCell ref="O47:P49"/>
    <mergeCell ref="C60:I62"/>
    <mergeCell ref="G48:I48"/>
    <mergeCell ref="C48:E48"/>
    <mergeCell ref="C59:I59"/>
    <mergeCell ref="C46:I46"/>
    <mergeCell ref="G49:I49"/>
    <mergeCell ref="C34:I34"/>
    <mergeCell ref="L41:N42"/>
    <mergeCell ref="L34:N34"/>
    <mergeCell ref="O34:P34"/>
    <mergeCell ref="L46:N46"/>
    <mergeCell ref="J62:N62"/>
    <mergeCell ref="L60:N60"/>
    <mergeCell ref="Q33:T33"/>
    <mergeCell ref="C102:K104"/>
    <mergeCell ref="AG98:AT98"/>
    <mergeCell ref="Q95:T95"/>
    <mergeCell ref="N91:Q92"/>
    <mergeCell ref="AS75:AT75"/>
    <mergeCell ref="J76:N76"/>
    <mergeCell ref="L75:N75"/>
    <mergeCell ref="L78:N78"/>
    <mergeCell ref="Q78:T78"/>
    <mergeCell ref="J77:N77"/>
    <mergeCell ref="P77:S77"/>
    <mergeCell ref="O85:P85"/>
    <mergeCell ref="AF84:AM84"/>
    <mergeCell ref="AC86:AD86"/>
    <mergeCell ref="AM85:AN85"/>
    <mergeCell ref="U85:V85"/>
    <mergeCell ref="Q84:S84"/>
    <mergeCell ref="S85:T85"/>
    <mergeCell ref="Q85:R85"/>
    <mergeCell ref="Y75:AB75"/>
    <mergeCell ref="AS80:AT80"/>
    <mergeCell ref="C78:I79"/>
    <mergeCell ref="AP78:AR78"/>
    <mergeCell ref="AS78:AT78"/>
    <mergeCell ref="AA79:AH79"/>
    <mergeCell ref="AI79:AL79"/>
    <mergeCell ref="AN79:AP79"/>
    <mergeCell ref="AR79:AT79"/>
    <mergeCell ref="U71:X71"/>
    <mergeCell ref="AP72:AQ72"/>
    <mergeCell ref="AC75:AF75"/>
    <mergeCell ref="Y78:AB78"/>
    <mergeCell ref="AC78:AF78"/>
    <mergeCell ref="AD72:AF72"/>
    <mergeCell ref="O72:X72"/>
    <mergeCell ref="L65:N65"/>
    <mergeCell ref="C71:I72"/>
    <mergeCell ref="AC69:AF69"/>
    <mergeCell ref="Y68:Z68"/>
    <mergeCell ref="AG52:AJ52"/>
    <mergeCell ref="Q45:T45"/>
    <mergeCell ref="AH66:AJ66"/>
    <mergeCell ref="AG67:AJ67"/>
    <mergeCell ref="O69:P69"/>
    <mergeCell ref="AA68:AL68"/>
    <mergeCell ref="O68:X68"/>
    <mergeCell ref="AK57:AT58"/>
    <mergeCell ref="Q67:T67"/>
    <mergeCell ref="U67:X67"/>
    <mergeCell ref="AG50:AJ50"/>
    <mergeCell ref="AG48:AJ48"/>
    <mergeCell ref="O65:P65"/>
    <mergeCell ref="O67:P67"/>
    <mergeCell ref="AS63:AT63"/>
    <mergeCell ref="AP63:AR63"/>
    <mergeCell ref="AN65:AT65"/>
    <mergeCell ref="Y65:AB65"/>
    <mergeCell ref="AK65:AM65"/>
    <mergeCell ref="O66:X66"/>
    <mergeCell ref="C195:AT195"/>
    <mergeCell ref="AK62:AT62"/>
    <mergeCell ref="AH17:AJ17"/>
    <mergeCell ref="AH16:AJ16"/>
    <mergeCell ref="AE18:AG18"/>
    <mergeCell ref="AE17:AG17"/>
    <mergeCell ref="AE16:AG16"/>
    <mergeCell ref="W18:Z18"/>
    <mergeCell ref="W17:Z17"/>
    <mergeCell ref="W16:Z16"/>
    <mergeCell ref="AA18:AD18"/>
    <mergeCell ref="AA17:AD17"/>
    <mergeCell ref="AA16:AD16"/>
    <mergeCell ref="AP80:AR80"/>
    <mergeCell ref="Q51:X51"/>
    <mergeCell ref="C57:I58"/>
    <mergeCell ref="J57:K58"/>
    <mergeCell ref="U44:X44"/>
    <mergeCell ref="O44:P44"/>
    <mergeCell ref="Q44:T44"/>
    <mergeCell ref="O41:P42"/>
    <mergeCell ref="J41:K42"/>
    <mergeCell ref="C41:I42"/>
    <mergeCell ref="L44:N44"/>
  </mergeCells>
  <phoneticPr fontId="3"/>
  <conditionalFormatting sqref="C188">
    <cfRule type="expression" dxfId="146" priority="3">
      <formula>#REF!="ご記入ありがとうございました　本エントリーシートをご提出いただき次第お手続きを進めさせていただきます"</formula>
    </cfRule>
  </conditionalFormatting>
  <conditionalFormatting sqref="C202">
    <cfRule type="expression" dxfId="145" priority="295">
      <formula>#REF!="ご記入ありがとうございました　本エントリーシートをご提出いただき次第お手続きを進めさせていただきます"</formula>
    </cfRule>
  </conditionalFormatting>
  <conditionalFormatting sqref="C44:I44">
    <cfRule type="expression" dxfId="144" priority="20">
      <formula>AND($C$44=0,$AV$44=TRUE)</formula>
    </cfRule>
  </conditionalFormatting>
  <conditionalFormatting sqref="C20:K23">
    <cfRule type="expression" dxfId="143" priority="144">
      <formula>VLOOKUP($AV$2,INDIRECT($AV$4),57,FALSE)=0</formula>
    </cfRule>
  </conditionalFormatting>
  <conditionalFormatting sqref="C50:AT51">
    <cfRule type="expression" dxfId="142" priority="162">
      <formula>$AV$82=2</formula>
    </cfRule>
  </conditionalFormatting>
  <conditionalFormatting sqref="C78:AT79">
    <cfRule type="expression" dxfId="141" priority="34">
      <formula>$AV$82=2</formula>
    </cfRule>
  </conditionalFormatting>
  <conditionalFormatting sqref="C80:AT80">
    <cfRule type="expression" dxfId="140" priority="8">
      <formula>$AV$82=2</formula>
    </cfRule>
    <cfRule type="expression" dxfId="139" priority="12">
      <formula>$AV$18=FALSE</formula>
    </cfRule>
  </conditionalFormatting>
  <conditionalFormatting sqref="C82:AT83">
    <cfRule type="expression" dxfId="138" priority="92">
      <formula>$AV$42=FALSE</formula>
    </cfRule>
  </conditionalFormatting>
  <conditionalFormatting sqref="C89:AT89">
    <cfRule type="expression" dxfId="137" priority="26">
      <formula>$AW$88="FALSE"</formula>
    </cfRule>
  </conditionalFormatting>
  <conditionalFormatting sqref="C152:AT153">
    <cfRule type="expression" dxfId="136" priority="182">
      <formula>$AV$150&lt;&gt;3</formula>
    </cfRule>
  </conditionalFormatting>
  <conditionalFormatting sqref="C189:AT195">
    <cfRule type="expression" dxfId="135" priority="2">
      <formula>$AV$60=FALSE</formula>
    </cfRule>
  </conditionalFormatting>
  <conditionalFormatting sqref="C213:AT214">
    <cfRule type="expression" dxfId="134" priority="829">
      <formula>$C$213="ご記入ありがとうございました。SBPSにて本書を受け取り次第、お手続きを進めさせていただきます。"</formula>
    </cfRule>
  </conditionalFormatting>
  <conditionalFormatting sqref="D25:R25">
    <cfRule type="expression" dxfId="133" priority="180">
      <formula>$AV$25="NG"</formula>
    </cfRule>
  </conditionalFormatting>
  <conditionalFormatting sqref="I3:K3">
    <cfRule type="expression" dxfId="132" priority="256">
      <formula>$I$2&lt;&gt;""</formula>
    </cfRule>
  </conditionalFormatting>
  <conditionalFormatting sqref="I4:K4">
    <cfRule type="expression" dxfId="131" priority="482">
      <formula>$I$4=""</formula>
    </cfRule>
  </conditionalFormatting>
  <conditionalFormatting sqref="J5">
    <cfRule type="expression" dxfId="130" priority="492">
      <formula>$J$5="※"</formula>
    </cfRule>
  </conditionalFormatting>
  <conditionalFormatting sqref="J126:U126">
    <cfRule type="expression" dxfId="129" priority="186">
      <formula>$J$126=""</formula>
    </cfRule>
  </conditionalFormatting>
  <conditionalFormatting sqref="J79:V79">
    <cfRule type="expression" dxfId="128" priority="33">
      <formula>AND($AV$78=TRUE,OR($AV$79="",$AV$79="0000"))</formula>
    </cfRule>
  </conditionalFormatting>
  <conditionalFormatting sqref="J114:AB114">
    <cfRule type="expression" dxfId="127" priority="63">
      <formula>$AV$158=2</formula>
    </cfRule>
  </conditionalFormatting>
  <conditionalFormatting sqref="J115:AB115">
    <cfRule type="expression" dxfId="126" priority="62">
      <formula>OR($AV$158=1,$AV$158=3)</formula>
    </cfRule>
  </conditionalFormatting>
  <conditionalFormatting sqref="J116:AB116">
    <cfRule type="expression" dxfId="125" priority="61">
      <formula>$AV$28=FALSE</formula>
    </cfRule>
  </conditionalFormatting>
  <conditionalFormatting sqref="J117:AB117">
    <cfRule type="expression" dxfId="124" priority="60">
      <formula>OR($AV$84=0,$AV$84=1)</formula>
    </cfRule>
  </conditionalFormatting>
  <conditionalFormatting sqref="J118:AB118">
    <cfRule type="expression" dxfId="123" priority="59">
      <formula>$AV$42=FALSE</formula>
    </cfRule>
  </conditionalFormatting>
  <conditionalFormatting sqref="J85:AT86">
    <cfRule type="expression" dxfId="122" priority="64">
      <formula>$AV$84&lt;&gt;2</formula>
    </cfRule>
  </conditionalFormatting>
  <conditionalFormatting sqref="K183">
    <cfRule type="expression" dxfId="121" priority="6">
      <formula>AND($AV$182=TRUE,OR($P$184="",$P$185=""))</formula>
    </cfRule>
  </conditionalFormatting>
  <conditionalFormatting sqref="K161:N161">
    <cfRule type="expression" dxfId="120" priority="93">
      <formula>OR($AV$161=0,$AW$161=0)</formula>
    </cfRule>
  </conditionalFormatting>
  <conditionalFormatting sqref="K155:Q155">
    <cfRule type="expression" dxfId="119" priority="102">
      <formula>AND($AV$154=2,$Q$155="")</formula>
    </cfRule>
  </conditionalFormatting>
  <conditionalFormatting sqref="K156:AB156">
    <cfRule type="expression" dxfId="118" priority="101">
      <formula>AND($AV$154=2,$AV$156=0)</formula>
    </cfRule>
  </conditionalFormatting>
  <conditionalFormatting sqref="K157:AB157">
    <cfRule type="expression" dxfId="117" priority="99">
      <formula>AND($AV$154=2,$AV$157=0)</formula>
    </cfRule>
  </conditionalFormatting>
  <conditionalFormatting sqref="K160:AB160">
    <cfRule type="expression" dxfId="116" priority="96">
      <formula>$AV$160=0</formula>
    </cfRule>
  </conditionalFormatting>
  <conditionalFormatting sqref="K158:AE158">
    <cfRule type="expression" dxfId="115" priority="98">
      <formula>$AV$158=0</formula>
    </cfRule>
  </conditionalFormatting>
  <conditionalFormatting sqref="K155:AH155 K156:AT156 K157:AB157 K154:AB154">
    <cfRule type="expression" dxfId="114" priority="104">
      <formula>$AV$154=0</formula>
    </cfRule>
  </conditionalFormatting>
  <conditionalFormatting sqref="K149:AT151">
    <cfRule type="expression" dxfId="113" priority="301">
      <formula>$AV$150=0</formula>
    </cfRule>
  </conditionalFormatting>
  <conditionalFormatting sqref="K155:AT157">
    <cfRule type="expression" dxfId="112" priority="103">
      <formula>$AV$154=1</formula>
    </cfRule>
  </conditionalFormatting>
  <conditionalFormatting sqref="K159:AT159">
    <cfRule type="expression" dxfId="111" priority="90">
      <formula>$AV$159=0</formula>
    </cfRule>
  </conditionalFormatting>
  <conditionalFormatting sqref="K174:AT175">
    <cfRule type="expression" dxfId="110" priority="53">
      <formula>AND($AV$175=FALSE,$AV$174&gt;0)</formula>
    </cfRule>
  </conditionalFormatting>
  <conditionalFormatting sqref="K176:AT176">
    <cfRule type="expression" dxfId="109" priority="54">
      <formula>AND($AV$175=TRUE,$AV$174=0)</formula>
    </cfRule>
  </conditionalFormatting>
  <conditionalFormatting sqref="K181:AT182">
    <cfRule type="expression" dxfId="108" priority="7">
      <formula>AND($AV$182=FALSE,OR($P$184&lt;&gt;"",$P$185&lt;&gt;""))</formula>
    </cfRule>
  </conditionalFormatting>
  <conditionalFormatting sqref="L8 P8 T8">
    <cfRule type="expression" dxfId="107" priority="258">
      <formula>L8=""</formula>
    </cfRule>
  </conditionalFormatting>
  <conditionalFormatting sqref="L107:P107">
    <cfRule type="expression" dxfId="106" priority="213">
      <formula>AND(OR(LEFT($O$18,2)="早期",LEFT($O$29,2)="早期",LEFT($O$30,2)="早期"),$AV$109=FALSE)</formula>
    </cfRule>
  </conditionalFormatting>
  <conditionalFormatting sqref="L4:AB4">
    <cfRule type="expression" dxfId="105" priority="837">
      <formula>$L$4="未登録"</formula>
    </cfRule>
  </conditionalFormatting>
  <conditionalFormatting sqref="L10:AB10">
    <cfRule type="expression" dxfId="104" priority="124">
      <formula>$L$10&lt;&gt;""</formula>
    </cfRule>
  </conditionalFormatting>
  <conditionalFormatting sqref="M5">
    <cfRule type="expression" dxfId="103" priority="491">
      <formula>$M$5="※"</formula>
    </cfRule>
  </conditionalFormatting>
  <conditionalFormatting sqref="N200">
    <cfRule type="expression" dxfId="102" priority="292">
      <formula>#REF!="ご記入ありがとうございました　本エントリーシートをご提出いただき次第お手続きを進めさせていただきます"</formula>
    </cfRule>
  </conditionalFormatting>
  <conditionalFormatting sqref="N202">
    <cfRule type="expression" dxfId="101" priority="291">
      <formula>#REF!="ご記入ありがとうございました　本エントリーシートをご提出いただき次第お手続きを進めさせていただきます"</formula>
    </cfRule>
  </conditionalFormatting>
  <conditionalFormatting sqref="O62:P62 T62:U62">
    <cfRule type="expression" dxfId="100" priority="207">
      <formula>AND($AV$60=TRUE,$AV$63=0)</formula>
    </cfRule>
  </conditionalFormatting>
  <conditionalFormatting sqref="O32:T32">
    <cfRule type="expression" dxfId="99" priority="21">
      <formula>$O$32=""</formula>
    </cfRule>
  </conditionalFormatting>
  <conditionalFormatting sqref="O61:X61">
    <cfRule type="expression" dxfId="98" priority="209">
      <formula>AND($AV$60=TRUE,OR($AV$61="",$AV$61="0000"))</formula>
    </cfRule>
  </conditionalFormatting>
  <conditionalFormatting sqref="O64:X64">
    <cfRule type="expression" dxfId="97" priority="118">
      <formula>AND($AV$64=TRUE,OR($BA$62="",$BA$62="0000"))</formula>
    </cfRule>
  </conditionalFormatting>
  <conditionalFormatting sqref="O66:X66">
    <cfRule type="expression" dxfId="96" priority="203">
      <formula>AND($AV$65=TRUE,OR($AV$66="00",$AV$66=""))</formula>
    </cfRule>
  </conditionalFormatting>
  <conditionalFormatting sqref="O68:X68">
    <cfRule type="expression" dxfId="95" priority="196">
      <formula>AND($AV$67=TRUE,OR($AV$68="",$AV$68="0000"))</formula>
    </cfRule>
  </conditionalFormatting>
  <conditionalFormatting sqref="O72:X72">
    <cfRule type="expression" dxfId="94" priority="192">
      <formula>AND($AV$71=TRUE,OR($AV$72="",$AV$72="00"))</formula>
    </cfRule>
  </conditionalFormatting>
  <conditionalFormatting sqref="O76:X76">
    <cfRule type="expression" dxfId="93" priority="188">
      <formula>AND($AV$75=TRUE,OR($AV$76="",$AV$76="0000"))</formula>
    </cfRule>
  </conditionalFormatting>
  <conditionalFormatting sqref="O77:X77">
    <cfRule type="expression" dxfId="92" priority="174">
      <formula>AND($AV$75=TRUE,$AY$77=0)</formula>
    </cfRule>
  </conditionalFormatting>
  <conditionalFormatting sqref="O82:X82">
    <cfRule type="expression" dxfId="91" priority="123">
      <formula>AND($AV$42=TRUE,$AV$82=0)</formula>
    </cfRule>
  </conditionalFormatting>
  <conditionalFormatting sqref="O83:X83">
    <cfRule type="expression" dxfId="90" priority="122">
      <formula>AND($AV$42=TRUE,$AV$83=0)</formula>
    </cfRule>
  </conditionalFormatting>
  <conditionalFormatting sqref="O87:X87">
    <cfRule type="expression" dxfId="89" priority="72">
      <formula>$AV$87=0</formula>
    </cfRule>
  </conditionalFormatting>
  <conditionalFormatting sqref="O161:AD161">
    <cfRule type="expression" dxfId="88" priority="94">
      <formula>$AV$161=0</formula>
    </cfRule>
  </conditionalFormatting>
  <conditionalFormatting sqref="O84:AM84">
    <cfRule type="expression" dxfId="87" priority="74">
      <formula>$AV$84=0</formula>
    </cfRule>
  </conditionalFormatting>
  <conditionalFormatting sqref="P5">
    <cfRule type="expression" dxfId="86" priority="490">
      <formula>$P$5="※"</formula>
    </cfRule>
  </conditionalFormatting>
  <conditionalFormatting sqref="P184:S184">
    <cfRule type="expression" dxfId="85" priority="5">
      <formula>AND($AV$182=TRUE,$P$184="")</formula>
    </cfRule>
  </conditionalFormatting>
  <conditionalFormatting sqref="P185:S185">
    <cfRule type="expression" dxfId="84" priority="4">
      <formula>AND($AV$182=TRUE,$P$185="")</formula>
    </cfRule>
  </conditionalFormatting>
  <conditionalFormatting sqref="Q96:T96">
    <cfRule type="expression" dxfId="83" priority="263">
      <formula>AND($AV$96=TRUE,$Q$96=0)</formula>
    </cfRule>
  </conditionalFormatting>
  <conditionalFormatting sqref="Q97:T97">
    <cfRule type="expression" dxfId="82" priority="261">
      <formula>AND($AV$97=TRUE,$Q$97=0)</formula>
    </cfRule>
  </conditionalFormatting>
  <conditionalFormatting sqref="Q51:X51">
    <cfRule type="expression" dxfId="81" priority="178">
      <formula>AND($AV$50=TRUE,OR($AV$51="",$AV$51="0000"))</formula>
    </cfRule>
  </conditionalFormatting>
  <conditionalFormatting sqref="Q85:X85">
    <cfRule type="expression" dxfId="80" priority="70">
      <formula>AND($AV$84=2,OR($Q$85="",$S$85="",$U$85="",$W$85=""))</formula>
    </cfRule>
  </conditionalFormatting>
  <conditionalFormatting sqref="Q86:X86">
    <cfRule type="expression" dxfId="79" priority="67">
      <formula>AND($Q$86&lt;&gt;"",OR($S$86="",$U$86="",$W$86=""))</formula>
    </cfRule>
  </conditionalFormatting>
  <conditionalFormatting sqref="Q99:AF99">
    <cfRule type="expression" dxfId="78" priority="3163">
      <formula>$AV$96=TRUE</formula>
    </cfRule>
  </conditionalFormatting>
  <conditionalFormatting sqref="Q99:AF100">
    <cfRule type="notContainsBlanks" dxfId="77" priority="274">
      <formula>LEN(TRIM(Q99))&gt;0</formula>
    </cfRule>
  </conditionalFormatting>
  <conditionalFormatting sqref="Q100:AF100">
    <cfRule type="expression" dxfId="76" priority="275">
      <formula>$AV$97=TRUE</formula>
    </cfRule>
  </conditionalFormatting>
  <conditionalFormatting sqref="R212:AT212 R215:AT215">
    <cfRule type="expression" dxfId="75" priority="1206" stopIfTrue="1">
      <formula>#REF!&lt;&gt;""</formula>
    </cfRule>
  </conditionalFormatting>
  <conditionalFormatting sqref="S5">
    <cfRule type="expression" dxfId="74" priority="489">
      <formula>$S$5="※"</formula>
    </cfRule>
  </conditionalFormatting>
  <conditionalFormatting sqref="S25:AE25">
    <cfRule type="expression" dxfId="73" priority="3165">
      <formula>$S$25&lt;&gt;""</formula>
    </cfRule>
  </conditionalFormatting>
  <conditionalFormatting sqref="V5">
    <cfRule type="expression" dxfId="72" priority="488">
      <formula>$V$5="※"</formula>
    </cfRule>
  </conditionalFormatting>
  <conditionalFormatting sqref="V113:Z119">
    <cfRule type="expression" dxfId="71" priority="252">
      <formula>V113=""</formula>
    </cfRule>
  </conditionalFormatting>
  <conditionalFormatting sqref="V120:Z120">
    <cfRule type="expression" dxfId="70" priority="25">
      <formula>V120=""</formula>
    </cfRule>
  </conditionalFormatting>
  <conditionalFormatting sqref="W3">
    <cfRule type="expression" dxfId="69" priority="3073">
      <formula>$W$3=""</formula>
    </cfRule>
  </conditionalFormatting>
  <conditionalFormatting sqref="W13:Z14">
    <cfRule type="expression" dxfId="68" priority="16">
      <formula>$AV$9="NG"</formula>
    </cfRule>
  </conditionalFormatting>
  <conditionalFormatting sqref="W16:Z17">
    <cfRule type="expression" dxfId="67" priority="13">
      <formula>AND($AV$17=TRUE,$AV$9="OK",$W16=0)</formula>
    </cfRule>
  </conditionalFormatting>
  <conditionalFormatting sqref="W16:Z18">
    <cfRule type="expression" dxfId="66" priority="10">
      <formula>$AV$9="NG"</formula>
    </cfRule>
  </conditionalFormatting>
  <conditionalFormatting sqref="W18:Z18">
    <cfRule type="expression" dxfId="65" priority="14">
      <formula>AND($AV$18=TRUE,$AV$9="OK",$W$18=0,$AS$18="包括")</formula>
    </cfRule>
  </conditionalFormatting>
  <conditionalFormatting sqref="W79:AH79">
    <cfRule type="expression" dxfId="64" priority="32">
      <formula>AND($AV$78=TRUE,OR($AX$79="",$AX$79="0000",LEFT($AV$79,2)&lt;&gt;LEFT($AX$79,2)))</formula>
    </cfRule>
  </conditionalFormatting>
  <conditionalFormatting sqref="Y5">
    <cfRule type="expression" dxfId="63" priority="456">
      <formula>$Y$5&lt;&gt;"-"</formula>
    </cfRule>
  </conditionalFormatting>
  <conditionalFormatting sqref="Y61:AA61">
    <cfRule type="expression" dxfId="62" priority="208">
      <formula>AND($AV$60=TRUE,OR($AV$62="",$AV$62="0000",LEFT($AV$61,2)&lt;&gt;LEFT($AV$62,2)))</formula>
    </cfRule>
  </conditionalFormatting>
  <conditionalFormatting sqref="Y97:AA97">
    <cfRule type="expression" dxfId="61" priority="260">
      <formula>AND($AV$97=TRUE,$Y$97=0)</formula>
    </cfRule>
  </conditionalFormatting>
  <conditionalFormatting sqref="Y96:AC96">
    <cfRule type="expression" dxfId="60" priority="262">
      <formula>AND($AV$96=TRUE,$Y$96=0)</formula>
    </cfRule>
  </conditionalFormatting>
  <conditionalFormatting sqref="Y19:AJ19">
    <cfRule type="expression" dxfId="59" priority="240">
      <formula>AND($AV19=TRUE,SUM($Y19:$AJ19)=0)</formula>
    </cfRule>
  </conditionalFormatting>
  <conditionalFormatting sqref="Y29:AJ29">
    <cfRule type="expression" dxfId="58" priority="42">
      <formula>AND($AV$29=TRUE,SUM($Y29:$AJ29)=0,$AS$29="包括")</formula>
    </cfRule>
  </conditionalFormatting>
  <conditionalFormatting sqref="Y30:AJ30">
    <cfRule type="expression" dxfId="57" priority="41">
      <formula>AND($AV$30=TRUE,SUM($Y30:$AJ30)=0,$AS$30="包括")</formula>
    </cfRule>
  </conditionalFormatting>
  <conditionalFormatting sqref="Y31:AJ31">
    <cfRule type="expression" dxfId="56" priority="40">
      <formula>AND($AV$31=TRUE,SUM($Y31:$AJ31)=0)</formula>
    </cfRule>
  </conditionalFormatting>
  <conditionalFormatting sqref="Y33:AJ33">
    <cfRule type="expression" dxfId="55" priority="38">
      <formula>AND($AV$32=TRUE,SUM($Y33:$AJ33)=0,$AS$33="包括")</formula>
    </cfRule>
  </conditionalFormatting>
  <conditionalFormatting sqref="Y34:AJ34">
    <cfRule type="expression" dxfId="54" priority="37">
      <formula>AND($AV$33=TRUE,SUM($Y34:$AJ34)=0,$AS$34="包括")</formula>
    </cfRule>
  </conditionalFormatting>
  <conditionalFormatting sqref="Y35:AJ35">
    <cfRule type="expression" dxfId="53" priority="237">
      <formula>AND($AV$34=TRUE,SUM($Y$35:$AJ$35)=0,$AS$35="包括")</formula>
    </cfRule>
  </conditionalFormatting>
  <conditionalFormatting sqref="Y44:AJ45">
    <cfRule type="expression" dxfId="52" priority="233">
      <formula>AND($AV44=TRUE,SUM($Y44:$AJ44)=0)</formula>
    </cfRule>
  </conditionalFormatting>
  <conditionalFormatting sqref="Y47:AJ49">
    <cfRule type="expression" dxfId="51" priority="232">
      <formula>AND($AV$47=TRUE,SUM($Y47:$AJ47)=0)</formula>
    </cfRule>
  </conditionalFormatting>
  <conditionalFormatting sqref="Y50:AJ50">
    <cfRule type="expression" dxfId="50" priority="176">
      <formula>AND($AV50=TRUE,SUM($Y50:$AJ50)=0)</formula>
    </cfRule>
  </conditionalFormatting>
  <conditionalFormatting sqref="Y60:AJ60">
    <cfRule type="expression" dxfId="49" priority="206">
      <formula>AND($AV$60=TRUE,SUM($Q$60:$AJ$60)=0)</formula>
    </cfRule>
  </conditionalFormatting>
  <conditionalFormatting sqref="Y63:AJ63">
    <cfRule type="expression" dxfId="48" priority="159">
      <formula>AND($AV$64=TRUE,SUM($Q$63:$AJ$63)=0,$AS$63="包括")</formula>
    </cfRule>
  </conditionalFormatting>
  <conditionalFormatting sqref="Y65:AJ65">
    <cfRule type="expression" dxfId="47" priority="204">
      <formula>AND($AV65=TRUE,SUM($Q65:$AJ65)=0)</formula>
    </cfRule>
  </conditionalFormatting>
  <conditionalFormatting sqref="Y67:AJ67">
    <cfRule type="expression" dxfId="46" priority="199">
      <formula>AND($AV67=TRUE,SUM($Q67:$AJ67)=0)</formula>
    </cfRule>
  </conditionalFormatting>
  <conditionalFormatting sqref="Y69:AJ71">
    <cfRule type="expression" dxfId="45" priority="198">
      <formula>AND($AV69=TRUE,SUM($Q69:$AJ69)=0)</formula>
    </cfRule>
  </conditionalFormatting>
  <conditionalFormatting sqref="Y75:AJ75">
    <cfRule type="expression" dxfId="44" priority="189">
      <formula>AND($AV75=TRUE,SUM($Q75:$AJ75)=0)</formula>
    </cfRule>
  </conditionalFormatting>
  <conditionalFormatting sqref="Y78:AJ78">
    <cfRule type="expression" dxfId="43" priority="84">
      <formula>AND($AV$78=TRUE,SUM($Q$78:$AJ$78)=0,$AS$78="包括")</formula>
    </cfRule>
  </conditionalFormatting>
  <conditionalFormatting sqref="Y80:AJ80">
    <cfRule type="expression" dxfId="42" priority="36">
      <formula>AND($AV$80=TRUE,SUM($Q$80:$AJ$80)=0,$AS$80="包括")</formula>
    </cfRule>
  </conditionalFormatting>
  <conditionalFormatting sqref="Y64:AL64">
    <cfRule type="expression" dxfId="41" priority="117">
      <formula>AND($AV$64=TRUE,OR($BA$63="",$BA$63="0000",LEFT($BA$62,2)&lt;&gt;LEFT($BA$63,2)))</formula>
    </cfRule>
  </conditionalFormatting>
  <conditionalFormatting sqref="Y68:AL68">
    <cfRule type="expression" dxfId="40" priority="195">
      <formula>AND($AV$67=TRUE,OR($AV$69="",$AV$69="0000",LEFT($AV$68,2)&lt;&gt;LEFT($AV$69,2)))</formula>
    </cfRule>
  </conditionalFormatting>
  <conditionalFormatting sqref="AA16">
    <cfRule type="expression" dxfId="39" priority="6797">
      <formula>AND($AA$16&gt;0,$AV$10="NG")</formula>
    </cfRule>
  </conditionalFormatting>
  <conditionalFormatting sqref="AA126:AC144">
    <cfRule type="expression" dxfId="38" priority="300">
      <formula>AA126=""</formula>
    </cfRule>
  </conditionalFormatting>
  <conditionalFormatting sqref="AA17:AD17">
    <cfRule type="expression" dxfId="37" priority="11">
      <formula>$AV$9="OK"</formula>
    </cfRule>
  </conditionalFormatting>
  <conditionalFormatting sqref="AA85:AH85">
    <cfRule type="expression" dxfId="36" priority="69">
      <formula>AND($AA$85&lt;&gt;"",OR($AC$85="",$AE$85="",$AG$85=""))</formula>
    </cfRule>
  </conditionalFormatting>
  <conditionalFormatting sqref="AA86:AH86">
    <cfRule type="expression" dxfId="35" priority="66">
      <formula>AND($AA$86&lt;&gt;"",OR($AC$86="",$AE$86="",$AG$86=""))</formula>
    </cfRule>
  </conditionalFormatting>
  <conditionalFormatting sqref="AA16:AJ16">
    <cfRule type="expression" dxfId="34" priority="6794">
      <formula>AND($AV$17=TRUE,SUM($AA$16:$AJ$16)=0)</formula>
    </cfRule>
  </conditionalFormatting>
  <conditionalFormatting sqref="AA17:AJ17">
    <cfRule type="expression" dxfId="33" priority="6793">
      <formula>AND($AV$17=TRUE,SUM($W$17:$AJ$17)=0)</formula>
    </cfRule>
  </conditionalFormatting>
  <conditionalFormatting sqref="AA18:AJ18">
    <cfRule type="expression" dxfId="32" priority="6790">
      <formula>AND($AV$18=TRUE,SUM($AA18:$AJ18)=0,$AS$18="包括")</formula>
    </cfRule>
  </conditionalFormatting>
  <conditionalFormatting sqref="AA51:AJ51">
    <cfRule type="expression" dxfId="31" priority="177">
      <formula>AND(AV50=TRUE,OR(AV51="0000",AW51="0000",LEFT(AV51,2)&lt;&gt;LEFT(AW51,2)))</formula>
    </cfRule>
  </conditionalFormatting>
  <conditionalFormatting sqref="AA76:AL76">
    <cfRule type="expression" dxfId="30" priority="187">
      <formula>AND($AV$75=TRUE,OR($AV$77="",$AV$77="0000",LEFT($AV$76,2)&lt;&gt;LEFT($AV$77,2)))</formula>
    </cfRule>
  </conditionalFormatting>
  <conditionalFormatting sqref="AB5">
    <cfRule type="expression" dxfId="29" priority="487">
      <formula>$AB$5&lt;&gt;"-"</formula>
    </cfRule>
  </conditionalFormatting>
  <conditionalFormatting sqref="AB152:AC152 AE152:AF152 AK152:AT152 K152:X153 AA153:AT153">
    <cfRule type="expression" dxfId="28" priority="183">
      <formula>AND($AV$150=3,K152="")</formula>
    </cfRule>
  </conditionalFormatting>
  <conditionalFormatting sqref="AC97:AE97">
    <cfRule type="expression" dxfId="27" priority="259">
      <formula>AND($AV$97=TRUE,$AC$97=0)</formula>
    </cfRule>
  </conditionalFormatting>
  <conditionalFormatting sqref="AC66:AJ66">
    <cfRule type="expression" dxfId="26" priority="200">
      <formula>AND($AV$65=TRUE,$AW$66=0)</formula>
    </cfRule>
  </conditionalFormatting>
  <conditionalFormatting sqref="AC72:AT72">
    <cfRule type="expression" dxfId="25" priority="175">
      <formula>AND($AV$71=TRUE,$AW$72=0)</formula>
    </cfRule>
  </conditionalFormatting>
  <conditionalFormatting sqref="AC156:AT156">
    <cfRule type="expression" dxfId="24" priority="100">
      <formula>AND($AV$154=2,$AW$156=0)</formula>
    </cfRule>
  </conditionalFormatting>
  <conditionalFormatting sqref="AC159:AT159">
    <cfRule type="expression" dxfId="23" priority="89">
      <formula>AND($AV$159=2,$AK$159="")</formula>
    </cfRule>
    <cfRule type="expression" dxfId="22" priority="97">
      <formula>$AV$159=1</formula>
    </cfRule>
  </conditionalFormatting>
  <conditionalFormatting sqref="AE5">
    <cfRule type="expression" dxfId="21" priority="486">
      <formula>$AE$5&lt;&gt;"-"</formula>
    </cfRule>
  </conditionalFormatting>
  <conditionalFormatting sqref="AE161:AT161">
    <cfRule type="expression" dxfId="20" priority="95">
      <formula>$AW$161=0</formula>
    </cfRule>
  </conditionalFormatting>
  <conditionalFormatting sqref="AF25:AT25">
    <cfRule type="expression" dxfId="19" priority="78">
      <formula>$AF$25&lt;&gt;""</formula>
    </cfRule>
  </conditionalFormatting>
  <conditionalFormatting sqref="AG99:AT100">
    <cfRule type="expression" dxfId="18" priority="272">
      <formula>#REF!=TRUE</formula>
    </cfRule>
    <cfRule type="expression" dxfId="17" priority="273">
      <formula>OR($AV$96=TRUE,$AV$97=TRUE)</formula>
    </cfRule>
  </conditionalFormatting>
  <conditionalFormatting sqref="AH8 AL8 AP8">
    <cfRule type="expression" dxfId="16" priority="257">
      <formula>AH8=""</formula>
    </cfRule>
  </conditionalFormatting>
  <conditionalFormatting sqref="AH5:AI5">
    <cfRule type="expression" dxfId="15" priority="218">
      <formula>$AH$5&lt;&gt;"-"</formula>
    </cfRule>
  </conditionalFormatting>
  <conditionalFormatting sqref="AI3">
    <cfRule type="expression" dxfId="14" priority="448">
      <formula>$AI$3=""</formula>
    </cfRule>
  </conditionalFormatting>
  <conditionalFormatting sqref="AI79:AT79">
    <cfRule type="expression" dxfId="13" priority="31">
      <formula>AND($AV$78=TRUE,$BA$79=0)</formula>
    </cfRule>
  </conditionalFormatting>
  <conditionalFormatting sqref="AK62">
    <cfRule type="expression" dxfId="12" priority="1">
      <formula>VLOOKUP($AV$2,INDIRECT($AV$4),45,FALSE)=0</formula>
    </cfRule>
  </conditionalFormatting>
  <conditionalFormatting sqref="AK29:AO31 AK33:AO35">
    <cfRule type="expression" dxfId="11" priority="27">
      <formula>$AN29=""</formula>
    </cfRule>
  </conditionalFormatting>
  <conditionalFormatting sqref="AK85:AR85">
    <cfRule type="expression" dxfId="10" priority="68">
      <formula>AND($AK$85&lt;&gt;"",OR($AM$85="",$AO$85="",$AQ$85=""))</formula>
    </cfRule>
  </conditionalFormatting>
  <conditionalFormatting sqref="AK86:AR86">
    <cfRule type="expression" dxfId="9" priority="65">
      <formula>AND($AK$86&lt;&gt;"",OR($AM$86="",$AO$86="",$AQ$86=""))</formula>
    </cfRule>
  </conditionalFormatting>
  <conditionalFormatting sqref="AO44:AT44">
    <cfRule type="expression" dxfId="8" priority="18">
      <formula>$C$44="Alipay"</formula>
    </cfRule>
  </conditionalFormatting>
  <conditionalFormatting sqref="AP3:AT3">
    <cfRule type="expression" dxfId="7" priority="483">
      <formula>$AP$3=""</formula>
    </cfRule>
  </conditionalFormatting>
  <conditionalFormatting sqref="AP18:AT18">
    <cfRule type="expression" dxfId="6" priority="56">
      <formula>OR(IF(AND($AV$18=TRUE,$AV$29=TRUE),$AS$18&lt;&gt;$AS$29),IF(AND($AV$18=TRUE,$AV$30=TRUE),$AS$18&lt;&gt;$AS$30),IF(AND($AV$18=TRUE,$AV$32=TRUE),$AS$18&lt;&gt;$AS$32),IF(AND($AV$18=TRUE,$AV$33=TRUE),$AS$18&lt;&gt;$AS$33),IF(AND($AV$18=TRUE,$AV$34=TRUE),$AS$18&lt;&gt;$AS$34),IF(AND($AV$18=TRUE,$AV$79=TRUE),$AS$18&lt;&gt;$AS$79))</formula>
    </cfRule>
  </conditionalFormatting>
  <conditionalFormatting sqref="AP29:AT31 AP33:AT35">
    <cfRule type="expression" dxfId="5" priority="28">
      <formula>$AS29=""</formula>
    </cfRule>
  </conditionalFormatting>
  <conditionalFormatting sqref="AP80:AT80">
    <cfRule type="expression" dxfId="4" priority="30">
      <formula>IF(AND($AV$18=TRUE,$AV$80=TRUE),$AS$18&lt;&gt;$AS$80)</formula>
    </cfRule>
  </conditionalFormatting>
  <conditionalFormatting sqref="AR44:AT44">
    <cfRule type="expression" dxfId="3" priority="17">
      <formula>AND($C$44="Alipay+",$AV$44=TRUE,$AR$44=0)</formula>
    </cfRule>
  </conditionalFormatting>
  <dataValidations count="113">
    <dataValidation type="textLength" imeMode="halfAlpha" operator="equal" allowBlank="1" showInputMessage="1" showErrorMessage="1" sqref="AG65532:AK65532 AG131068:AK131068 AG196604:AK196604 AG262140:AK262140 AG327676:AK327676 AG393212:AK393212 AG458748:AK458748 AG524284:AK524284 AG589820:AK589820 AG655356:AK655356 AG720892:AK720892 AG786428:AK786428 AG851964:AK851964 AG917500:AK917500 AG983036:AK983036" xr:uid="{00000000-0002-0000-0800-000000000000}">
      <formula1>7</formula1>
    </dataValidation>
    <dataValidation type="whole" imeMode="halfAlpha" allowBlank="1" showInputMessage="1" showErrorMessage="1" sqref="AN65584:AO65584 AN131120:AO131120 AN196656:AO196656 AN262192:AO262192 AN327728:AO327728 AN393264:AO393264 AN458800:AO458800 AN524336:AO524336 AN589872:AO589872 AN655408:AO655408 AN720944:AO720944 AN786480:AO786480 AN852016:AO852016 AN917552:AO917552 AN983088:AO983088" xr:uid="{00000000-0002-0000-0800-000001000000}">
      <formula1>1000</formula1>
      <formula2>2099</formula2>
    </dataValidation>
    <dataValidation type="whole" imeMode="halfAlpha" allowBlank="1" showInputMessage="1" showErrorMessage="1" sqref="W65579:X65579 W131115:X131115 W196651:X196651 W262187:X262187 W327723:X327723 W393259:X393259 W458795:X458795 W524331:X524331 W589867:X589867 W655403:X655403 W720939:X720939 W786475:X786475 W852011:X852011 W917547:X917547 W983083:X983083" xr:uid="{00000000-0002-0000-0800-000002000000}">
      <formula1>2014</formula1>
      <formula2>2099</formula2>
    </dataValidation>
    <dataValidation type="list" allowBlank="1" showInputMessage="1" showErrorMessage="1" sqref="C65607:I65607 C131143:I131143 C196679:I196679 C262215:I262215 C327751:I327751 C393287:I393287 C458823:I458823 C524359:I524359 C589895:I589895 C655431:I655431 C720967:I720967 C786503:I786503 C852039:I852039 C917575:I917575 C983111:I983111 I65533 I131069 I262141 I196605 I983037 I917501 I851965 I786429 I720893 I655357 I589821 I524285 I458749 I393213 I327677" xr:uid="{00000000-0002-0000-0800-000003000000}">
      <formula1>#REF!</formula1>
    </dataValidation>
    <dataValidation type="list" allowBlank="1" showInputMessage="1" showErrorMessage="1" sqref="O983098:P983101 O917562:P917565 O852026:P852029 O786490:P786493 O720954:P720957 O655418:P655421 O589882:P589885 O524346:P524349 O458810:P458813 O393274:P393277 O327738:P327741 O262202:P262205 O196666:P196669 O131130:P131133 O65594:P65597" xr:uid="{00000000-0002-0000-0800-000004000000}">
      <formula1>$CF$32:$CF$33</formula1>
    </dataValidation>
    <dataValidation imeMode="halfAlpha" allowBlank="1" showInputMessage="1" showErrorMessage="1" prompt="特商法ページのURLを記載して下さい。_x000a_その際、http://やhttps://を省略しないようお願いいたします。" sqref="I983230:AI983230 I65726:AI65726 I131262:AI131262 I196798:AI196798 I262334:AI262334 I327870:AI327870 I393406:AI393406 I458942:AI458942 I524478:AI524478 I590014:AI590014 I655550:AI655550 I721086:AI721086 I786622:AI786622 I852158:AI852158 I917694:AI917694" xr:uid="{00000000-0002-0000-0800-000005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99:Y65700 I131235:Y131236 I196771:Y196772 I262307:Y262308 I327843:Y327844 I393379:Y393380 I458915:Y458916 I524451:Y524452 I589987:Y589988 I655523:Y655524 I721059:Y721060 I786595:Y786596 I852131:Y852132 I917667:Y917668 I983203:Y983204" xr:uid="{00000000-0002-0000-0800-000006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702:Y65703 I131238:Y131239 I196774:Y196775 I262310:Y262311 I327846:Y327847 I393382:Y393383 I458918:Y458919 I524454:Y524455 I589990:Y589991 I655526:Y655527 I721062:Y721063 I786598:Y786599 I852134:Y852135 I917670:Y917671 I983206:Y983207" xr:uid="{00000000-0002-0000-0800-000007000000}"/>
    <dataValidation imeMode="hiragana" allowBlank="1" showInputMessage="1" showErrorMessage="1" promptTitle="売上報告担当" prompt="収納レポートやご請求書の送付先となります。" sqref="I65705:Y65706 I131241:Y131242 I196777:Y196778 I262313:Y262314 I327849:Y327850 I393385:Y393386 I458921:Y458922 I524457:Y524458 I589993:Y589994 I655529:Y655530 I721065:Y721066 I786601:Y786602 I852137:Y852138 I917673:Y917674 I983209:Y983210" xr:uid="{00000000-0002-0000-0800-000008000000}"/>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721:AT65722 I131257:AT131258 I196793:AT196794 I262329:AT262330 I327865:AT327866 I393401:AT393402 I458937:AT458938 I524473:AT524474 I590009:AT590010 I655545:AT655546 I721081:AT721082 I786617:AT786618 I852153:AT852154 I917689:AT917690 I983225:AT983226" xr:uid="{00000000-0002-0000-0800-000009000000}"/>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72:AT65573 I131108:AT131109 I196644:AT196645 I262180:AT262181 I327716:AT327717 I393252:AT393253 I458788:AT458789 I524324:AT524325 I589860:AT589861 I655396:AT655397 I720932:AT720933 I786468:AT786469 I852004:AT852005 I917540:AT917541 I983076:AT983077" xr:uid="{00000000-0002-0000-0800-00000A000000}">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75:AA65576 I131111:AA131112 I196647:AA196648 I262183:AA262184 I327719:AA327720 I393255:AA393256 I458791:AA458792 I524327:AA524328 I589863:AA589864 I655399:AA655400 I720935:AA720936 I786471:AA786472 I852007:AA852008 I917543:AA917544 I983079:AA983080" xr:uid="{00000000-0002-0000-0800-00000B000000}">
      <formula1>12</formula1>
    </dataValidation>
    <dataValidation type="whole" imeMode="halfAlpha" allowBlank="1" showInputMessage="1" showErrorMessage="1" sqref="Q65563:R65563 Q131099:R131099 Q196635:R196635 Q262171:R262171 Q327707:R327707 Q393243:R393243 Q458779:R458779 Q524315:R524315 Q589851:R589851 Q655387:R655387 Q720923:R720923 Q786459:R786459 Q851995:R851995 Q917531:R917531 Q983067:R983067 AB65579 AB131115 AB196651 AB262187 AB327723 AB393259 AB458795 AB524331 AB589867 AB655403 AB720939 AB786475 AB852011 AB917547 AB983083 AS65584 AS131120 AS196656 AS262192 AS327728 AS393264 AS458800 AS524336 AS589872 AS655408 AS720944 AS786480 AS852016 AS917552 AS983088 U65550:W65551 U131086:W131087 U196622:W196623 U262158:W262159 U327694:W327695 U393230:W393231 U458766:W458767 U524302:W524303 U589838:W589839 U655374:W655375 U720910:W720911 U786446:W786447 U851982:W851983 U917518:W917519 U983054:W983055" xr:uid="{00000000-0002-0000-0800-00000C000000}">
      <formula1>1</formula1>
      <formula2>31</formula2>
    </dataValidation>
    <dataValidation imeMode="hiragana" allowBlank="1" showInputMessage="1" showErrorMessage="1" promptTitle="会社所在地" prompt="都道府県名からご記入下さい" sqref="I65560:AT65561 I131096:AT131097 I196632:AT196633 I262168:AT262169 I327704:AT327705 I393240:AT393241 I458776:AT458777 I524312:AT524313 I589848:AT589849 I655384:AT655385 I720920:AT720921 I786456:AT786457 I851992:AT851993 I917528:AT917529 I983064:AT983065" xr:uid="{00000000-0002-0000-0800-00000D000000}"/>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130:AF983130 AC65626:AF65626 AC131162:AF131162 AC196698:AF196698 AC262234:AF262234 AC327770:AF327770 AC393306:AF393306 AC458842:AF458842 AC524378:AF524378 AC589914:AF589914 AC655450:AF655450 AC720986:AF720986 AC786522:AF786522 AC852058:AF852058 AC917594:AF917594" xr:uid="{00000000-0002-0000-0800-00000E00000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130:AJ983130 AG65626:AJ65626 AG131162:AJ131162 AG196698:AJ196698 AG262234:AJ262234 AG327770:AJ327770 AG393306:AJ393306 AG458842:AJ458842 AG524378:AJ524378 AG589914:AJ589914 AG655450:AJ655450 AG720986:AJ720986 AG786522:AJ786522 AG852058:AJ852058 AG917594:AJ917594" xr:uid="{00000000-0002-0000-0800-00000F000000}">
      <formula1>#REF!</formula1>
    </dataValidation>
    <dataValidation type="list" allowBlank="1" showInputMessage="1" showErrorMessage="1" sqref="C983108:I983108 C917572:I917572 C852036:I852036 C786500:I786500 C720964:I720964 C655428:I655428 C589892:I589892 C524356:I524356 C458820:I458820 C393284:I393284 C327748:I327748 C262212:I262212 C196676:I196676 C131140:I131140 C65604:I65604" xr:uid="{00000000-0002-0000-0800-000010000000}">
      <formula1>$CF$18:$CF$22</formula1>
    </dataValidation>
    <dataValidation type="textLength" imeMode="halfAlpha" operator="greaterThanOrEqual" allowBlank="1" showInputMessage="1" showErrorMessage="1" sqref="AB65584:AH65584 AB131120:AH131120 AB196656:AH196656 AB262192:AH262192 AB327728:AH327728 AB393264:AH393264 AB458800:AH458800 AB524336:AH524336 AB589872:AH589872 AB655408:AH655408 AB720944:AH720944 AB786480:AH786480 AB852016:AH852016 AB917552:AH917552 AB983088:AH983088" xr:uid="{00000000-0002-0000-0800-000011000000}">
      <formula1>1</formula1>
    </dataValidation>
    <dataValidation type="list" allowBlank="1" showInputMessage="1" showErrorMessage="1" sqref="C983098:I983098 C917562:I917562 C852026:I852026 C786490:I786490 C720954:I720954 C655418:I655418 C589882:I589882 C524346:I524346 C458810:I458810 C393274:I393274 C327738:I327738 C262202:I262202 C196666:I196666 C131130:I131130 C65594:I65594" xr:uid="{00000000-0002-0000-0800-000012000000}">
      <formula1>$CF$11:$CF$12</formula1>
    </dataValidation>
    <dataValidation type="list" allowBlank="1" showInputMessage="1" showErrorMessage="1" sqref="C983107:I983107 C917571:I917571 C852035:I852035 C786499:I786499 C720963:I720963 C655427:I655427 C589891:I589891 C524355:I524355 C458819:I458819 C393283:I393283 C327747:I327747 C262211:I262211 C196675:I196675 C131139:I131139 C65603:I65603" xr:uid="{00000000-0002-0000-0800-000013000000}">
      <formula1>$CF$15:$CF$16</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77:AH65578 I131113:AH131114 I196649:AH196650 I262185:AH262186 I327721:AH327722 I393257:AH393258 I458793:AH458794 I524329:AH524330 I589865:AH589866 I655401:AH655402 I720937:AH720938 I786473:AH786474 I852009:AH852010 I917545:AH917546 I983081:AH983082" xr:uid="{00000000-0002-0000-0800-000014000000}"/>
    <dataValidation imeMode="fullKatakana" allowBlank="1" showInputMessage="1" showErrorMessage="1" sqref="I65555:AT65555 I131091:AT131091 I196627:AT196627 I262163:AT262163 I327699:AT327699 I393235:AT393235 I458771:AT458771 I524307:AT524307 I589843:AT589843 I655379:AT655379 I720915:AT720915 I786451:AT786451 I851987:AT851987 I917523:AT917523 I983059:AT983059 I65558:AT65558 I131094:AT131094 I196630:AT196630 I262166:AT262166 I327702:AT327702 I393238:AT393238 I458774:AT458774 I524310:AT524310 I589846:AT589846 I655382:AT655382 I720918:AT720918 I786454:AT786454 I851990:AT851990 I917526:AT917526 I983062:AT983062 I65566:Q65566 I131102:Q131102 I196638:Q196638 I262174:Q262174 I327710:Q327710 I393246:Q393246 I458782:Q458782 I524318:Q524318 I589854:Q589854 I655390:Q655390 I720926:Q720926 I786462:Q786462 I851998:Q851998 I917534:Q917534 I983070:Q983070 I65574:AA65574 I131110:AA131110 I196646:AA196646 I262182:AA262182 I327718:AA327718 I393254:AA393254 I458790:AA458790 I524326:AA524326 I589862:AA589862 I655398:AA655398 I720934:AA720934 I786470:AA786470 I852006:AA852006 I917542:AA917542 I983078:AA983078 I65698:Y65698 I131234:Y131234 I196770:Y196770 I262306:Y262306 I327842:Y327842 I393378:Y393378 I458914:Y458914 I524450:Y524450 I589986:Y589986 I655522:Y655522 I721058:Y721058 I786594:Y786594 I852130:Y852130 I917666:Y917666 I983202:Y983202 I65701:Y65701 I131237:Y131237 I196773:Y196773 I262309:Y262309 I327845:Y327845 I393381:Y393381 I458917:Y458917 I524453:Y524453 I589989:Y589989 I655525:Y655525 I721061:Y721061 I786597:Y786597 I852133:Y852133 I917669:Y917669 I983205:Y983205 I65704:Y65704 I131240:Y131240 I196776:Y196776 I262312:Y262312 I327848:Y327848 I393384:Y393384 I458920:Y458920 I524456:Y524456 I589992:Y589992 I655528:Y655528 I721064:Y721064 I786600:Y786600 I852136:Y852136 I917672:Y917672 I983208:Y983208" xr:uid="{00000000-0002-0000-0800-000015000000}"/>
    <dataValidation imeMode="hiragana" allowBlank="1" showInputMessage="1" showErrorMessage="1" promptTitle="ご確認下さい！" prompt="該当サイトが公開前の場合、必ず別途サービス概要資料や商材価格表をご提出下さい。" sqref="I65580:AK65581 I131116:AK131117 I196652:AK196653 I262188:AK262189 I327724:AK327725 I393260:AK393261 I458796:AK458797 I524332:AK524333 I589868:AK589869 I655404:AK655405 I720940:AK720941 I786476:AK786477 I852012:AK852013 I917548:AK917549 I983084:AK983085" xr:uid="{00000000-0002-0000-0800-000016000000}"/>
    <dataValidation type="whole" imeMode="halfAlpha" allowBlank="1" showInputMessage="1" showErrorMessage="1" sqref="AM65567:AN65568 AM131103:AN131104 AM196639:AN196640 AM262175:AN262176 AM327711:AN327712 AM393247:AN393248 AM458783:AN458784 AM524319:AN524320 AM589855:AN589856 AM655391:AN655392 AM720927:AN720928 AM786463:AN786464 AM851999:AN852000 AM917535:AN917536 AM983071:AN983072 N65563:O65563 N131099:O131099 N196635:O196635 N262171:O262171 N327707:O327707 N393243:O393243 N458779:O458779 N524315:O524315 N589851:O589851 N655387:O655387 N720923:O720923 N786459:O786459 N851995:O851995 N917531:O917531 N983067:O983067 Z65579 Z131115 Z196651 Z262187 Z327723 Z393259 Z458795 Z524331 Z589867 Z655403 Z720939 Z786475 Z852011 Z917547 Z983083 AQ65584 AQ131120 AQ196656 AQ262192 AQ327728 AQ393264 AQ458800 AQ524336 AQ589872 AQ655408 AQ720944 AQ786480 AQ852016 AQ917552 AQ983088 P65550:R65551 P131086:R131087 P196622:R196623 P262158:R262159 P327694:R327695 P393230:R393231 P458766:R458767 P524302:R524303 P589838:R589839 P655374:R655375 P720910:R720911 P786446:R786447 P851982:R851983 P917518:R917519 P983054:R983055" xr:uid="{00000000-0002-0000-0800-000017000000}">
      <formula1>1</formula1>
      <formula2>12</formula2>
    </dataValidation>
    <dataValidation type="whole" imeMode="halfAlpha" allowBlank="1" showInputMessage="1" showErrorMessage="1" sqref="K983054:M983055 K65550:M65551 K131086:M131087 K196622:M196623 K262158:M262159 K327694:M327695 K393230:M393231 K458766:M458767 K524302:M524303 K589838:M589839 K655374:M655375 K720910:M720911 K786446:M786447 K851982:M851983 K917518:M917519" xr:uid="{00000000-0002-0000-0800-000018000000}">
      <formula1>2014</formula1>
      <formula2>2020</formula2>
    </dataValidation>
    <dataValidation type="textLength" imeMode="halfAlpha" operator="equal" allowBlank="1" showInputMessage="1" showErrorMessage="1" sqref="M65559:P65559 M131095:P131095 M196631:P196631 M262167:P262167 M327703:P327703 M393239:P393239 M458775:P458775 M524311:P524311 M589847:P589847 M655383:P655383 M720919:P720919 M786455:P786455 M851991:P851991 M917527:P917527 M983063:P983063 M65707:N65707 M131243:N131243 M196779:N196779 M262315:N262315 M327851:N327851 M393387:N393387 M458923:N458923 M524459:N524459 M589995:N589995 M655531:N655531 M721067:N721067 M786603:N786603 M852139:N852139 M917675:N917675 M983211:N983211" xr:uid="{00000000-0002-0000-0800-000019000000}">
      <formula1>4</formula1>
    </dataValidation>
    <dataValidation type="textLength" imeMode="halfAlpha" operator="equal" allowBlank="1" showInputMessage="1" showErrorMessage="1" sqref="J65559:K65559 J131095:K131095 J196631:K196631 J262167:K262167 J327703:K327703 J393239:K393239 J458775:K458775 J524311:K524311 J589847:K589847 J655383:K655383 J720919:K720919 J786455:K786455 J851991:K851991 J917527:K917527 J983063:K983063 J65707:K65707 J131243:K131243 J196779:K196779 J262315:K262315 J327851:K327851 J393387:K393387 J458923:K458923 J524459:K524459 J589995:K589995 J655531:K655531 J721067:K721067 J786603:K786603 J852139:K852139 J917675:K917675 J983211:K983211 O99:P100" xr:uid="{00000000-0002-0000-0800-00001A000000}">
      <formula1>3</formula1>
    </dataValidation>
    <dataValidation type="whole" imeMode="halfAlpha" allowBlank="1" showInputMessage="1" showErrorMessage="1" sqref="K65563:L65563 K131099:L131099 K196635:L196635 K262171:L262171 K327707:L327707 K393243:L393243 K458779:L458779 K524315:L524315 K589851:L589851 K655387:L655387 K720923:L720923 K786459:L786459 K851995:L851995 K917531:L917531 K983067:L983067" xr:uid="{00000000-0002-0000-0800-00001B000000}">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75:AT65576 AB131111:AT131112 AB196647:AT196648 AB262183:AT262184 AB327719:AT327720 AB393255:AT393256 AB458791:AT458792 AB524327:AT524328 AB589863:AT589864 AB655399:AT655400 AB720935:AT720936 AB786471:AT786472 AB852007:AT852008 AB917543:AT917544 AB983079:AT983080" xr:uid="{00000000-0002-0000-0800-00001C000000}">
      <formula1>25</formula1>
    </dataValidation>
    <dataValidation type="whole" imeMode="halfAlpha" allowBlank="1" showInputMessage="1" showErrorMessage="1" sqref="AI65567:AJ65568 AI131103:AJ131104 AI196639:AJ196640 AI262175:AJ262176 AI327711:AJ327712 AI393247:AJ393248 AI458783:AJ458784 AI524319:AJ524320 AI589855:AJ589856 AI655391:AJ655392 AI720927:AJ720928 AI786463:AJ786464 AI851999:AJ852000 AI917535:AJ917536 AI983071:AJ983072" xr:uid="{00000000-0002-0000-0800-00001D000000}">
      <formula1>1900</formula1>
      <formula2>2020</formula2>
    </dataValidation>
    <dataValidation type="textLength" imeMode="halfAlpha" allowBlank="1" showInputMessage="1" showErrorMessage="1" sqref="I983036 I65532 I131068 I196604 I262140 I327676 I393212 I458748 I524284 I589820 I655356 I720892 I786428 I851964 I917500" xr:uid="{00000000-0002-0000-0800-00001E000000}">
      <formula1>5</formula1>
      <formula2>5</formula2>
    </dataValidation>
    <dataValidation type="textLength" imeMode="halfAlpha" allowBlank="1" showInputMessage="1" showErrorMessage="1" sqref="R983036 R65532 R131068 R196604 R262140 R327676 R393212 R458748 R524284 R589820 R655356 R720892 R786428 R851964 R917500" xr:uid="{00000000-0002-0000-0800-00001F000000}">
      <formula1>3</formula1>
      <formula2>3</formula2>
    </dataValidation>
    <dataValidation type="whole" imeMode="halfAlpha" allowBlank="1" showInputMessage="1" showErrorMessage="1" sqref="AA65563:AE65563 AA131099:AE131099 AA196635:AE196635 AA262171:AE262171 AA327707:AE327707 AA393243:AE393243 AA458779:AE458779 AA524315:AE524315 AA589851:AE589851 AA655387:AE655387 AA720923:AE720923 AA786459:AE786459 AA851995:AE851995 AA917531:AE917531 AA983067:AE983067" xr:uid="{00000000-0002-0000-0800-000020000000}">
      <formula1>0</formula1>
      <formula2>99999999999</formula2>
    </dataValidation>
    <dataValidation type="whole" imeMode="halfAlpha" allowBlank="1" showInputMessage="1" showErrorMessage="1" promptTitle="年商" prompt="設立初年度などは『0』とご入力下さい。" sqref="AN65563:AR65563 AN131099:AR131099 AN196635:AR196635 AN262171:AR262171 AN327707:AR327707 AN393243:AR393243 AN458779:AR458779 AN524315:AR524315 AN589851:AR589851 AN655387:AR655387 AN720923:AR720923 AN786459:AR786459 AN851995:AR851995 AN917531:AR917531 AN983067:AR983067" xr:uid="{00000000-0002-0000-0800-000021000000}">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550:AJ65551 AH131086:AJ131087 AH196622:AJ196623 AH262158:AJ262159 AH327694:AJ327695 AH393230:AJ393231 AH458766:AJ458767 AH524302:AJ524303 AH589838:AJ589839 AH655374:AJ655375 AH720910:AJ720911 AH786446:AJ786447 AH851982:AJ851983 AH917518:AJ917519 AH983054:AJ983055" xr:uid="{00000000-0002-0000-0800-000022000000}">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550:AN65551 AM131086:AN131087 AM196622:AN196623 AM262158:AN262159 AM327694:AN327695 AM393230:AN393231 AM458766:AN458767 AM524302:AN524303 AM589838:AN589839 AM655374:AN655375 AM720910:AN720911 AM786446:AN786447 AM851982:AN851983 AM917518:AN917519 AM983054:AN983055" xr:uid="{00000000-0002-0000-0800-000023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550:AR65551 AQ131086:AR131087 AQ196622:AR196623 AQ262158:AR262159 AQ327694:AR327695 AQ393230:AR393231 AQ458766:AR458767 AQ524302:AR524303 AQ589838:AR589839 AQ655374:AR655375 AQ720910:AR720911 AQ786446:AR786447 AQ851982:AR851983 AQ917518:AR917519 AQ983054:AR983055" xr:uid="{00000000-0002-0000-0800-000024000000}">
      <formula1>1</formula1>
      <formula2>31</formula2>
    </dataValidation>
    <dataValidation imeMode="halfAlpha" allowBlank="1" showInputMessage="1" showErrorMessage="1" promptTitle="FAX番号" prompt="FAXが無い場合は『00-0000-0000』とご入力下さい。" sqref="AE65562:AT65562 AE131098:AT131098 AE196634:AT196634 AE262170:AT262170 AE327706:AT327706 AE393242:AT393242 AE458778:AT458778 AE524314:AT524314 AE589850:AT589850 AE655386:AT655386 AE720922:AT720922 AE786458:AT786458 AE851994:AT851994 AE917530:AT917530 AE983066:AT983066 AE65707:AT65707 AE131243:AT131243 AE196779:AT196779 AE262315:AT262315 AE327851:AT327851 AE393387:AT393387 AE458923:AT458923 AE524459:AT524459 AE589995:AT589995 AE655531:AT655531 AE721067:AT721067 AE786603:AT786603 AE852139:AT852139 AE917675:AT917675 AE983211:AT983211" xr:uid="{00000000-0002-0000-0800-000025000000}"/>
    <dataValidation imeMode="halfAlpha" allowBlank="1" showInputMessage="1" showErrorMessage="1" promptTitle="メールアドレス" prompt="グループアドレスのご指定を推奨しております。" sqref="AE65700:AT65700 AE131236:AT131236 AE196772:AT196772 AE262308:AT262308 AE327844:AT327844 AE393380:AT393380 AE458916:AT458916 AE524452:AT524452 AE589988:AT589988 AE655524:AT655524 AE721060:AT721060 AE786596:AT786596 AE852132:AT852132 AE917668:AT917668 AE983204:AT983204" xr:uid="{00000000-0002-0000-0800-000026000000}"/>
    <dataValidation allowBlank="1" showInputMessage="1" showErrorMessage="1" promptTitle="E-mailアドレス" prompt="設定できるE-mailアドレスは1つです。_x000a_メーリングリストのご指定を推奨しております。" sqref="Z65700:AD65700 Z131236:AD131236 Z196772:AD196772 Z262308:AD262308 Z327844:AD327844 Z393380:AD393380 Z458916:AD458916 Z524452:AD524452 Z589988:AD589988 Z655524:AD655524 Z721060:AD721060 Z786596:AD786596 Z852132:AD852132 Z917668:AD917668 Z983204:AD983204" xr:uid="{00000000-0002-0000-0800-000027000000}"/>
    <dataValidation type="list" allowBlank="1" showInputMessage="1" showErrorMessage="1" sqref="L983182:N983190 L852110:N852118 L786574:N786582 L721038:N721046 L655502:N655510 L589966:N589974 L524430:N524438 L458894:N458902 L393358:N393366 L327822:N327830 L262286:N262294 L196750:N196758 L131214:N131222 L65678:N65686 L983156:N983179 L917620:N917643 L852084:N852107 L786548:N786571 L721012:N721035 L655476:N655499 L589940:N589963 L524404:N524427 L458868:N458891 L393332:N393355 L327796:N327819 L262260:N262283 L196724:N196747 L131188:N131211 L65652:N65675 L917646:N917654 L983151:N983153 L917615:N917617 L852079:N852081 L786543:N786545 L721007:N721009 L655471:N655473 L589935:N589937 L524399:N524401 L458863:N458865 L393327:N393329 L327791:N327793 L262255:N262257 L196719:N196721 L131183:N131185 L65647:N65649 L983146:N983148 L917610:N917612 L852074:N852076 L786538:N786540 L721002:N721004 L655466:N655468 L589930:N589932 L524394:N524396 L458858:N458860 L393322:N393324 L327786:N327788 L262250:N262252 L196714:N196716 L131178:N131180 L65642:N65644 L983139:N983143 L917603:N917607 L852067:N852071 L786531:N786535 L720995:N720999 L655459:N655463 L589923:N589927 L524387:N524391 L458851:N458855 L393315:N393319 L327779:N327783 L262243:N262247 L196707:N196711 L131171:N131175 L65635:N65639 L983133:N983136 L917597:N917600 L852061:N852064 L786525:N786528 L720989:N720992 L655453:N655456 L589917:N589920 L524381:N524384 L458845:N458848 L393309:N393312 L327773:N327776 L262237:N262240 L196701:N196704 L131165:N131168 L65629:N65632 L983124:N983130 L917588:N917594 L852052:N852058 L786516:N786522 L720980:N720986 L655444:N655450 L589908:N589914 L524372:N524378 L458836:N458842 L393300:N393306 L327764:N327770 L262228:N262234 L196692:N196698 L131156:N131162 L65620:N65626 L983115:N983121 L917579:N917585 L852043:N852049 L786507:N786513 L720971:N720977 L655435:N655441 L589899:N589905 L524363:N524369 L458827:N458833 L393291:N393297 L327755:N327761 L262219:N262225 L196683:N196689 L131147:N131153 L65611:N65617 L983110:N983112 L917574:N917576 L852038:N852040 L786502:N786504 L720966:N720968 L655430:N655432 L589894:N589896 L524358:N524360 L458822:N458824 L393286:N393288 L327750:N327752 L262214:N262216 L196678:N196680 L131142:N131144 L65606:N65608 L983107:N983108 L917571:N917572 L852035:N852036 L786499:N786500 L720963:N720964 L655427:N655428 L589891:N589892 L524355:N524356 L458819:N458820 L393283:N393284 L327747:N327748 L262211:N262212 L196675:N196676 L131139:N131140 L65603:N65604 L983098:N983101 L917562:N917565 L852026:N852029 L786490:N786493 L720954:N720957 L655418:N655421 L589882:N589885 L524346:N524349 L458810:N458813 L393274:N393277 L327738:N327741 L262202:N262205 L196666:N196669 L131130:N131133 L65594:N65597" xr:uid="{00000000-0002-0000-0800-000028000000}">
      <formula1>$CF$29:$CF$30</formula1>
    </dataValidation>
    <dataValidation imeMode="hiragana" allowBlank="1" showInputMessage="1" showErrorMessage="1" sqref="I65564:AT65564 I131100:AT131100 I196636:AT196636 I262172:AT262172 I327708:AT327708 I393244:AT393244 I458780:AT458780 I524316:AT524316 I589852:AT589852 I655388:AT655388 I720924:AT720924 I786460:AT786460 I851996:AT851996 I917532:AT917532 I983068:AT983068 I65556:AT65557 I131092:AT131093 I196628:AT196629 I262164:AT262165 I327700:AT327701 I393236:AT393237 I458772:AT458773 I524308:AT524309 I589844:AT589845 I655380:AT655381 I720916:AT720917 I786452:AT786453 I851988:AT851989 I917524:AT917525 I983060:AT983061 W65566:AA65568 W131102:AA131104 W196638:AA196640 W262174:AA262176 W327710:AA327712 W393246:AA393248 W458782:AA458784 W524318:AA524320 W589854:AA589856 W655390:AA655392 W720926:AA720928 W786462:AA786464 W851998:AA852000 W917534:AA917536 W983070:AA983072 I65567:Q65568 I131103:Q131104 I196639:Q196640 I262175:Q262176 I327711:Q327712 I393247:Q393248 I458783:Q458784 I524319:Q524320 I589855:Q589856 I655391:Q655392 I720927:Q720928 I786463:Q786464 I851999:Q852000 I917535:Q917536 I983071:Q983072 I65708:AT65709 I131244:AT131245 I196780:AT196781 I262316:AT262317 I327852:AT327853 I393388:AT393389 I458924:AT458925 I524460:AT524461 I589996:AT589997 I655532:AT655533 I721068:AT721069 I786604:AT786605 I852140:AT852141 I917676:AT917677 I983212:AT983213 AE65698:AT65698 AE131234:AT131234 AE196770:AT196770 AE262306:AT262306 AE327842:AT327842 AE393378:AT393378 AE458914:AT458914 AE524450:AT524450 AE589986:AT589986 AE655522:AT655522 AE721058:AT721058 AE786594:AT786594 AE852130:AT852130 AE917666:AT917666 AE983202:AT983202 AE65701:AT65701 AE131237:AT131237 AE196773:AT196773 AE262309:AT262309 AE327845:AT327845 AE393381:AT393381 AE458917:AT458917 AE524453:AT524453 AE589989:AT589989 AE655525:AT655525 AE721061:AT721061 AE786597:AT786597 AE852133:AT852133 AE917669:AT917669 AE983205:AT983205 AE65704:AT65704 AE131240:AT131240 AE196776:AT196776 AE262312:AT262312 AE327848:AT327848 AE393384:AT393384 AE458920:AT458920 AE524456:AT524456 AE589992:AT589992 AE655528:AT655528 AE721064:AT721064 AE786600:AT786600 AE852136:AT852136 AE917672:AT917672 AE983208:AT983208 I65713:R65714 I131249:R131250 I196785:R196786 I262321:R262322 I327857:R327858 I393393:R393394 I458929:R458930 I524465:R524466 I590001:R590002 I655537:R655538 I721073:R721074 I786609:R786610 I852145:R852146 I917681:R917682 I983217:R983218 AG65713:AN65714 AG131249:AN131250 AG196785:AN196786 AG262321:AN262322 AG327857:AN327858 AG393393:AN393394 AG458929:AN458930 AG524465:AN524466 AG590001:AN590002 AG655537:AN655538 AG721073:AN721074 AG786609:AN786610 AG852145:AN852146 AG917681:AN917682 AG983217:AN983218 I65719:AT65720 I131255:AT131256 I196791:AT196792 I262327:AT262328 I327863:AT327864 I393399:AT393400 I458935:AT458936 I524471:AT524472 I590007:AT590008 I655543:AT655544 I721079:AT721080 I786615:AT786616 I852151:AT852152 I917687:AT917688 I983223:AT983224 AB131280 S65734:AT65734 S131270:AT131270 S196806:AT196806 S262342:AT262342 S327878:AT327878 S393414:AT393414 S458950:AT458950 S524486:AT524486 S590022:AT590022 S655558:AT655558 S721094:AT721094 S786630:AT786630 S852166:AT852166 S917702:AT917702 S983238:AT983238 AB196816 U65735:AS65735 U131271:AS131271 U196807:AS196807 U262343:AS262343 U327879:AS327879 U393415:AS393415 U458951:AS458951 U524487:AS524487 U590023:AS590023 U655559:AS655559 U721095:AS721095 U786631:AS786631 U852167:AS852167 U917703:AS917703 U983239:AS983239 AB262352 N65736:AA65736 N131272:AA131272 N196808:AA196808 N262344:AA262344 N327880:AA327880 N393416:AA393416 N458952:AA458952 N524488:AA524488 N590024:AA590024 N655560:AA655560 N721096:AA721096 N786632:AA786632 N852168:AA852168 N917704:AA917704 N983240:AA983240 AB327888 AG65736:AT65736 AG131272:AT131272 AG196808:AT196808 AG262344:AT262344 AG327880:AT327880 AG393416:AT393416 AG458952:AT458952 AG524488:AT524488 AG590024:AT590024 AG655560:AT655560 AG721096:AT721096 AG786632:AT786632 AG852168:AT852168 AG917704:AT917704 AG983240:AT983240 X65737:AS65737 X131273:AS131273 X196809:AS196809 X262345:AS262345 X327881:AS327881 X393417:AS393417 X458953:AS458953 X524489:AS524489 X590025:AS590025 X655561:AS655561 X721097:AS721097 X786633:AS786633 X852169:AS852169 X917705:AS917705 X983241:AS983241 AB393424 N65738:AA65739 N131274:AA131275 N196810:AA196811 N262346:AA262347 N327882:AA327883 N393418:AA393419 N458954:AA458955 N524490:AA524491 N590026:AA590027 N655562:AA655563 N721098:AA721099 N786634:AA786635 N852170:AA852171 N917706:AA917707 N983242:AA983243 AB458960 AG65738:AT65739 AG131274:AT131275 AG196810:AT196811 AG262346:AT262347 AG327882:AT327883 AG393418:AT393419 AG458954:AT458955 AG524490:AT524491 AG590026:AT590027 AG655562:AT655563 AG721098:AT721099 AG786634:AT786635 AG852170:AT852171 AG917706:AT917707 AG983242:AT983243 AB524496 U65731:AS65732 U131267:AS131268 U196803:AS196804 U262339:AS262340 U327875:AS327876 U393411:AS393412 U458947:AS458948 U524483:AS524484 U590019:AS590020 U655555:AS655556 U721091:AS721092 U786627:AS786628 U852163:AS852164 U917699:AS917700 U983235:AS983236 AB590032 I65730:Y65730 I131266:Y131266 I196802:Y196802 I262338:Y262338 I327874:Y327874 I393410:Y393410 I458946:Y458946 I524482:Y524482 I590018:Y590018 I655554:Y655554 I721090:Y721090 I786626:Y786626 I852162:Y852162 I917698:Y917698 I983234:Y983234 AB655568 AE65730:AT65730 AE131266:AT131266 AE196802:AT196802 AE262338:AT262338 AE327874:AT327874 AE393410:AT393410 AE458946:AT458946 AE524482:AT524482 AE590018:AT590018 AE655554:AT655554 AE721090:AT721090 AE786626:AT786626 AE852162:AT852162 AE917698:AT917698 AE983234:AT983234 AB721104 X65729:AT65729 X131265:AT131265 X196801:AT196801 X262337:AT262337 X327873:AT327873 X393409:AT393409 X458945:AT458945 X524481:AT524481 X590017:AT590017 X655553:AT655553 X721089:AT721089 X786625:AT786625 X852161:AT852161 X917697:AT917697 X983233:AT983233 AB786640 Z65728:AT65728 Z131264:AT131264 Z196800:AT196800 Z262336:AT262336 Z327872:AT327872 Z393408:AT393408 Z458944:AT458944 Z524480:AT524480 Z590016:AT590016 Z655552:AT655552 Z721088:AT721088 Z786624:AT786624 Z852160:AT852160 Z917696:AT917696 Z983232:AT983232 AB852176 W65733 W131269 W196805 W262341 W327877 W393413 W458949 W524485 W590021 W655557 W721093 W786629 W852165 W917701 W983237 AB917712 W65740:W65743 W131276:W131279 W196812:W196815 W262348:W262351 W327884:W327887 W393420:W393423 W458956:W458959 W524492:W524495 W590028:W590031 W655564:W655567 W721100:W721103 W786636:W786639 W852172:W852175 W917708:W917711 W983244:W983247 AB983248 AB65744 K152:X153 AA153:AT153 Q155" xr:uid="{00000000-0002-0000-0800-000029000000}"/>
    <dataValidation imeMode="halfAlpha" allowBlank="1" showInputMessage="1" showErrorMessage="1" sqref="AF65727:AT65727 AF131263:AT131263 AF196799:AT196799 AF262335:AT262335 AF327871:AT327871 AF393407:AT393407 AF458943:AT458943 AF524479:AT524479 AF590015:AT590015 AF655551:AT655551 AF721087:AT721087 AF786623:AT786623 AF852159:AT852159 AF917695:AT917695 AF983231:AT983231 I65562:X65562 I131098:X131098 I196634:X196634 I262170:X262170 I327706:X327706 I393242:X393242 I458778:X458778 I524314:X524314 I589850:X589850 I655386:X655386 I720922:X720922 I786458:X786458 I851994:X851994 I917530:X917530 I983066:X983066 AQ65567:AR65568 AQ131103:AR131104 AQ196639:AR196640 AQ262175:AR262176 AQ327711:AR327712 AQ393247:AR393248 AQ458783:AR458784 AQ524319:AR524320 AQ589855:AR589856 AQ655391:AR655392 AQ720927:AR720928 AQ786463:AR786464 AQ851999:AR852000 AQ917535:AR917536 AQ983071:AR983072 I65565:AT65565 I131101:AT131101 I196637:AT196637 I262173:AT262173 I327709:AT327709 I393245:AT393245 I458781:AT458781 I524317:AT524317 I589853:AT589853 I655389:AT655389 I720925:AT720925 I786461:AT786461 I851997:AT851997 I917533:AT917533 I983069:AT983069 AC65582:AE65582 AC131118:AE131118 AC196654:AE196654 AC262190:AE262190 AC327726:AE327726 AC393262:AE393262 AC458798:AE458798 AC524334:AE524334 AC589870:AE589870 AC655406:AE655406 AC720942:AE720942 AC786478:AE786478 AC852014:AE852014 AC917550:AE917550 AC983086:AE983086 AH65582:AJ65582 AH131118:AJ131118 AH196654:AJ196654 AH262190:AJ262190 AH327726:AJ327726 AH393262:AJ393262 AH458798:AJ458798 AH524334:AJ524334 AH589870:AJ589870 AH655406:AJ655406 AH720942:AJ720942 AH786478:AJ786478 AH852014:AJ852014 AH917550:AJ917550 AH983086:AJ983086 AQ65582:AS65582 AQ131118:AS131118 AQ196654:AS196654 AQ262190:AS262190 AQ327726:AS327726 AQ393262:AS393262 AQ458798:AS458798 AQ524334:AS524334 AQ589870:AS589870 AQ655406:AS655406 AQ720942:AS720942 AQ786478:AS786478 AQ852014:AS852014 AQ917550:AS917550 AQ983086:AS983086 AE65699:AT65699 AE131235:AT131235 AE196771:AT196771 AE262307:AT262307 AE327843:AT327843 AE393379:AT393379 AE458915:AT458915 AE524451:AT524451 AE589987:AT589987 AE655523:AT655523 AE721059:AT721059 AE786595:AT786595 AE852131:AT852131 AE917667:AT917667 AE983203:AT983203 AE65702:AT65703 AE131238:AT131239 AE196774:AT196775 AE262310:AT262311 AE327846:AT327847 AE393382:AT393383 AE458918:AT458919 AE524454:AT524455 AE589990:AT589991 AE655526:AT655527 AE721062:AT721063 AE786598:AT786599 AE852134:AT852135 AE917670:AT917671 AE983206:AT983207 AE65705:AT65706 AE131241:AT131242 AE196777:AT196778 AE262313:AT262314 AE327849:AT327850 AE393385:AT393386 AE458921:AT458922 AE524457:AT524458 AE589993:AT589994 AE655529:AT655530 AE721065:AT721066 AE786601:AT786602 AE852137:AT852138 AE917673:AT917674 AE983209:AT983210 I65715:P65716 I131251:P131252 I196787:P196788 I262323:P262324 I327859:P327860 I393395:P393396 I458931:P458932 I524467:P524468 I590003:P590004 I655539:P655540 I721075:P721076 I786611:P786612 I852147:P852148 I917683:P917684 I983219:P983220 V65715:AA65716 V131251:AA131252 V196787:AA196788 V262323:AA262324 V327859:AA327860 V393395:AA393396 V458931:AA458932 V524467:AA524468 V590003:AA590004 V655539:AA655540 V721075:AA721076 V786611:AA786612 V852147:AA852148 V917683:AA917684 V983219:AA983220 V65717:AI65718 V131253:AI131254 V196789:AI196790 V262325:AI262326 V327861:AI327862 V393397:AI393398 V458933:AI458934 V524469:AI524470 V590005:AI590006 V655541:AI655542 V721077:AI721078 V786613:AI786614 V852149:AI852150 V917685:AI917686 V983221:AI983222 AP6:AP7 AQ7:AT7 AP3:AT3" xr:uid="{00000000-0002-0000-0800-00002A000000}"/>
    <dataValidation type="whole" imeMode="halfAlpha" operator="greaterThanOrEqual" allowBlank="1" showInputMessage="1" showErrorMessage="1" errorTitle="半角数字のみ" error="半角数字8文字のみ入力可能です。_x000a_（ハイフン等入れずに入力ください）" sqref="U96:U97 L96:L97" xr:uid="{00000000-0002-0000-0800-00002B000000}">
      <formula1>0</formula1>
    </dataValidation>
    <dataValidation imeMode="disabled" operator="equal" allowBlank="1" showInputMessage="1" showErrorMessage="1" errorTitle="半角数字のみ" error="半角数字8文字のみ入力可能です。_x000a_（ハイフン等入れずに入力ください）" sqref="AC97" xr:uid="{00000000-0002-0000-0800-00002C000000}"/>
    <dataValidation imeMode="halfAlpha" operator="equal" allowBlank="1" showInputMessage="1" showErrorMessage="1" errorTitle="半角数字のみ" error="半角数字8文字のみ入力可能です。_x000a_（ハイフン等入れずに入力ください）" sqref="Q96:Q97" xr:uid="{00000000-0002-0000-0800-00002D000000}"/>
    <dataValidation type="textLength" imeMode="halfAlpha" operator="equal" allowBlank="1" showInputMessage="1" showErrorMessage="1" sqref="L99:N100" xr:uid="{00000000-0002-0000-0800-00002E000000}">
      <formula1>5</formula1>
    </dataValidation>
    <dataValidation type="list" allowBlank="1" showInputMessage="1" showErrorMessage="1" sqref="O69:P70" xr:uid="{00000000-0002-0000-0800-00002F000000}">
      <formula1>"2回入金,早期2回,早期3回,早期4回,早期6回"</formula1>
    </dataValidation>
    <dataValidation type="custom" imeMode="disabled" allowBlank="1" showInputMessage="1" showErrorMessage="1" errorTitle="サービス開始希望日" error="サービス開始希望日は申込年月日より未来の日付をご入力ください。" sqref="T8:V8" xr:uid="{00000000-0002-0000-0800-000030000000}">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xr:uid="{00000000-0002-0000-0800-000031000000}">
      <formula1>AND(P8&lt;&gt;0,P8&lt;13,ISERROR(FIND("NG",AZ8)))</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xr:uid="{00000000-0002-0000-0800-000032000000}">
      <formula1>AND(LEN(L8)=4,L8&gt;=2018,ISERROR(FIND("NG",AZ8)))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P8:AR8" xr:uid="{00000000-0002-0000-0800-000033000000}">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後以降を目安にご記入下さい。_x000a_【ご注意下さい】_x000a_審査状況や端末費用の入金時期により、ご希望に添えない場合もございますので予めご了承下さい。" sqref="AL8:AN8" xr:uid="{00000000-0002-0000-0800-000034000000}">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端末決済サービスの利用開始『希望日』です。_x000a_申込書類提出の2ヶ月以降を目安にご記入下さい。_x000a_【ご注意下さい】_x000a_審査状況や端末費用の入金時期により、ご希望に添えない場合もございますので予めご了承下さい。" sqref="AH8:AJ8" xr:uid="{00000000-0002-0000-0800-000035000000}">
      <formula1>AND(LEN(AH8)=4,AH8&gt;=2018,ISERROR(FIND("NG",AZ8)))</formula1>
    </dataValidation>
    <dataValidation type="custom" imeMode="disabled" operator="equal" allowBlank="1" showInputMessage="1" showErrorMessage="1" sqref="W3:Y3" xr:uid="{00000000-0002-0000-0800-000036000000}">
      <formula1>AND(LENB(W3)=LEN(W3),LEN(W3)=7)</formula1>
    </dataValidation>
    <dataValidation type="custom" imeMode="disabled" allowBlank="1" showInputMessage="1" showErrorMessage="1" sqref="I3:K3" xr:uid="{00000000-0002-0000-0800-000037000000}">
      <formula1>AND(LENB(I3)=LEN(I3),LEN(I3)=5)</formula1>
    </dataValidation>
    <dataValidation type="custom" imeMode="disabled" allowBlank="1" showInputMessage="1" showErrorMessage="1" sqref="R3:S3" xr:uid="{00000000-0002-0000-0800-000038000000}">
      <formula1>AND(LENB(R3)=LEN(R3),LEN(R3)=3)</formula1>
    </dataValidation>
    <dataValidation type="custom" imeMode="disabled" allowBlank="1" showInputMessage="1" showErrorMessage="1" error="小数第二位までとなります。" sqref="Y65 Y44:AF45 Y80:AF80 Y69:Y70 Y60:AF60 AC69:AC70 Y71:AF71 AC67 Y67 Y52:AF52 AC75 Y75 Y47:AF50 AC63 AC65 Y63 Y78:AF78 Y33:AF36 Y29:AF31 W16:Z18 Y19:AF19 AA17:AD18 AE16:AG18" xr:uid="{00000000-0002-0000-0800-000039000000}">
      <formula1>ROUND(W16,4)=W16</formula1>
    </dataValidation>
    <dataValidation imeMode="disabled" allowBlank="1" showInputMessage="1" showErrorMessage="1" sqref="U75 AG33:AJ36 AG80:AJ80 AG44:AJ45 Q65 Q52:X52 Q44:X45 Q33:X36 AG60:AJ60 Q63 U69:U70 Q60:X60 O161 AG47:AJ50 U65 Q80:X80 U63 Q69:Q70 AG69:AG70 AN65:AT65 AG71:AJ71 Q71:X71 AG67 Q67 U67 AG52:AJ52 AG75 Q75 Q16 AI157:AK158 Q47:X50 Q154:S154 W154:Y154 AC154:AK154 S156:S158 AK156 Q157:R158 AO156:AQ156 AK161 Y156:Y157 AD157:AH157 W156:X158 Y161:AA161 S161:U161 AO161:AQ161 W160:Y160 K160 AC157:AC158 Q160:S160 T16 AG63 AG65 AG78:AJ78 Q78:X78 AG29:AJ31 Q29:X31 AI19:AJ19 AH16:AH19 AG19" xr:uid="{00000000-0002-0000-0800-00003A000000}"/>
    <dataValidation type="whole" imeMode="disabled" allowBlank="1" showInputMessage="1" showErrorMessage="1" sqref="AA126:AC146" xr:uid="{00000000-0002-0000-0800-00003B000000}">
      <formula1>0</formula1>
      <formula2>9999999999</formula2>
    </dataValidation>
    <dataValidation type="whole" imeMode="disabled" operator="greaterThanOrEqual" allowBlank="1" showInputMessage="1" showErrorMessage="1" sqref="Q107:Z110 AK159:AT159 V119:Z120 V113:Z113" xr:uid="{00000000-0002-0000-0800-00003C000000}">
      <formula1>0</formula1>
    </dataValidation>
    <dataValidation type="list" allowBlank="1" showInputMessage="1" showErrorMessage="1" sqref="L107:P110" xr:uid="{00000000-0002-0000-0800-00003D000000}">
      <formula1>"選択してください,申し込む"</formula1>
    </dataValidation>
    <dataValidation type="list" allowBlank="1" showInputMessage="1" showErrorMessage="1" sqref="AD109:AG109" xr:uid="{00000000-0002-0000-0800-00003E000000}">
      <formula1>"選択してください,docomo,SoftBank"</formula1>
    </dataValidation>
    <dataValidation type="list" allowBlank="1" showInputMessage="1" showErrorMessage="1" sqref="AQ19" xr:uid="{00000000-0002-0000-0800-00003F000000}">
      <formula1>"-,初回申込時不要"</formula1>
    </dataValidation>
    <dataValidation type="list" allowBlank="1" showInputMessage="1" showErrorMessage="1" sqref="O46:P46" xr:uid="{00000000-0002-0000-0800-000040000000}">
      <formula1>$BE$71:$BE$72</formula1>
    </dataValidation>
    <dataValidation type="list" allowBlank="1" showInputMessage="1" showErrorMessage="1" sqref="L60:N60 L47:N50 L44:N45 L67:N67 L69:N71 L75:N75 L80:N80 L16:N19 L65:N65 L63:N63 L78:N78 L29:N31 L33:N35" xr:uid="{00000000-0002-0000-0800-000041000000}">
      <formula1>$BC$2:$BC$3</formula1>
    </dataValidation>
    <dataValidation type="list" allowBlank="1" showInputMessage="1" showErrorMessage="1" sqref="Q61:X61" xr:uid="{00000000-0002-0000-0800-000042000000}">
      <formula1>PayPay商品1</formula1>
    </dataValidation>
    <dataValidation type="textLength" operator="lessThan" allowBlank="1" showInputMessage="1" showErrorMessage="1" error="19文字以内で入力ください。" sqref="Q164:Q167 AG164:AK167 Y164:Y167 AC164:AC167" xr:uid="{00000000-0002-0000-0800-000043000000}">
      <formula1>20</formula1>
    </dataValidation>
    <dataValidation type="textLength" imeMode="disabled" operator="equal" allowBlank="1" showInputMessage="1" showErrorMessage="1" error="7桁で入力ください。_x000a_（7桁未満の場合は先頭に０をご入力ください。）" sqref="AI161:AJ161" xr:uid="{00000000-0002-0000-0800-000044000000}">
      <formula1>7</formula1>
    </dataValidation>
    <dataValidation type="list" allowBlank="1" showInputMessage="1" showErrorMessage="1" sqref="AA61" xr:uid="{00000000-0002-0000-0800-000045000000}">
      <formula1>INDIRECT("PayPay"&amp;$AW$61)</formula1>
    </dataValidation>
    <dataValidation type="list" allowBlank="1" showInputMessage="1" showErrorMessage="1" sqref="O66:X66" xr:uid="{00000000-0002-0000-0800-000046000000}">
      <formula1>d払い業態</formula1>
    </dataValidation>
    <dataValidation allowBlank="1" showInputMessage="1" showErrorMessage="1" error="小数第二位までとなります。" sqref="Y66:AB66" xr:uid="{00000000-0002-0000-0800-000047000000}"/>
    <dataValidation type="list" allowBlank="1" showInputMessage="1" showErrorMessage="1" sqref="AA68:AL68" xr:uid="{00000000-0002-0000-0800-000048000000}">
      <formula1>INDIRECT("LinePay"&amp;$AW$68)</formula1>
    </dataValidation>
    <dataValidation type="list" allowBlank="1" showInputMessage="1" showErrorMessage="1" sqref="O68:X68" xr:uid="{00000000-0002-0000-0800-000049000000}">
      <formula1>LinePay業種</formula1>
    </dataValidation>
    <dataValidation type="list" allowBlank="1" showInputMessage="1" showErrorMessage="1" sqref="O72:X72" xr:uid="{00000000-0002-0000-0800-00004A000000}">
      <formula1>auPAY業種</formula1>
    </dataValidation>
    <dataValidation type="list" allowBlank="1" showInputMessage="1" showErrorMessage="1" sqref="AP45:AT45" xr:uid="{00000000-0002-0000-0800-00004B000000}">
      <formula1>WeChatPayビジネスカテゴリ</formula1>
    </dataValidation>
    <dataValidation type="list" showInputMessage="1" showErrorMessage="1" sqref="AS60:AT60" xr:uid="{00000000-0002-0000-0800-00004C000000}">
      <formula1>"0:無,1:有"</formula1>
    </dataValidation>
    <dataValidation type="list" allowBlank="1" showInputMessage="1" showErrorMessage="1" sqref="O76:X76" xr:uid="{00000000-0002-0000-0800-00004D000000}">
      <formula1>メルペイ業種</formula1>
    </dataValidation>
    <dataValidation type="list" allowBlank="1" showInputMessage="1" showErrorMessage="1" sqref="AS75:AT75" xr:uid="{00000000-0002-0000-0800-00004E000000}">
      <formula1>"0:無,1:有"</formula1>
    </dataValidation>
    <dataValidation type="list" allowBlank="1" showInputMessage="1" showErrorMessage="1" sqref="AA76:AL76" xr:uid="{00000000-0002-0000-0800-00004F000000}">
      <formula1>INDIRECT("メルペイ"&amp;$AW$76)</formula1>
    </dataValidation>
    <dataValidation type="whole" imeMode="disabled" allowBlank="1" showInputMessage="1" showErrorMessage="1" sqref="AP4:AT4" xr:uid="{00000000-0002-0000-0800-000050000000}">
      <formula1>1000</formula1>
      <formula2>9999</formula2>
    </dataValidation>
    <dataValidation type="textLength" imeMode="disabled" operator="equal" allowBlank="1" showInputMessage="1" showErrorMessage="1" sqref="AB152:AC152" xr:uid="{00000000-0002-0000-0800-000051000000}">
      <formula1>3</formula1>
    </dataValidation>
    <dataValidation type="textLength" imeMode="disabled" operator="equal" allowBlank="1" showInputMessage="1" showErrorMessage="1" sqref="AE152:AF152" xr:uid="{00000000-0002-0000-0800-000052000000}">
      <formula1>4</formula1>
    </dataValidation>
    <dataValidation type="custom" imeMode="disabled" allowBlank="1" showInputMessage="1" showErrorMessage="1" errorTitle="電話番号" error="半角でご入力下さい。_x000a_ハイフンもご入力下さい。" sqref="AK152:AT152" xr:uid="{00000000-0002-0000-0800-000053000000}">
      <formula1>IF(AND(COUNTIF(AK152,"*-*-*")&gt;0,ISNUMBER(VALUE(SUBSTITUTE(AK152,"-",""))),LENB(AK152)&lt;14,LENB(AK152)&gt;9),TRUE,FALSE)</formula1>
    </dataValidation>
    <dataValidation type="list" allowBlank="1" showInputMessage="1" showErrorMessage="1" sqref="AL65581:AT65581 AL131117:AT131117 AL196653:AT196653 AL262189:AT262189 AL327725:AT327725 AL393261:AT393261 AL458797:AT458797 AL524333:AT524333 AL589869:AT589869 AL655405:AT655405 AL720941:AT720941 AL786477:AT786477 AL852013:AT852013 AL917549:AT917549 AL983085:AT983085" xr:uid="{00000000-0002-0000-0800-000054000000}">
      <formula1>$AZ$2:$AZ$10</formula1>
    </dataValidation>
    <dataValidation type="list" allowBlank="1" showInputMessage="1" showErrorMessage="1" sqref="AS18:AT18 AS78:AT78 AS63:AT63 AS80:AT80 AS29:AT31 AS33:AT35" xr:uid="{00000000-0002-0000-0800-000055000000}">
      <formula1>"包括,直接"</formula1>
    </dataValidation>
    <dataValidation type="list" allowBlank="1" showInputMessage="1" showErrorMessage="1" error="小数第二位までとなります。" sqref="AA51:AJ51" xr:uid="{00000000-0002-0000-0800-000056000000}">
      <formula1>INDIRECT("JKOPAY"&amp;$AV$51)</formula1>
    </dataValidation>
    <dataValidation type="list" allowBlank="1" showInputMessage="1" showErrorMessage="1" sqref="Q51:X51" xr:uid="{00000000-0002-0000-0800-000057000000}">
      <formula1>JKOPAY商品1</formula1>
    </dataValidation>
    <dataValidation type="list" allowBlank="1" showInputMessage="1" showErrorMessage="1" sqref="O16:P19" xr:uid="{00000000-0002-0000-0800-000058000000}">
      <formula1>"2回入金,1回入金,早期2回,早期3回,早期4回,早期6回"</formula1>
    </dataValidation>
    <dataValidation type="list" allowBlank="1" showInputMessage="1" showErrorMessage="1" sqref="O80:P80 O44:P45 O47:P50 O60:P60 O63:P63 O65:P65 O67:P67 O71:P71 O75:P75 O78:P78 O29:P31 O33:P35" xr:uid="{00000000-0002-0000-0800-000059000000}">
      <formula1>"2回入金,1回入金"</formula1>
    </dataValidation>
    <dataValidation operator="greaterThanOrEqual" allowBlank="1" showInputMessage="1" showErrorMessage="1" sqref="Q159:AB159" xr:uid="{00000000-0002-0000-0800-00005A000000}"/>
    <dataValidation type="list" allowBlank="1" showInputMessage="1" showErrorMessage="1" sqref="AA64:AL64" xr:uid="{00000000-0002-0000-0800-00005B000000}">
      <formula1>INDIRECT("楽天ペイ"&amp;$BA$62)</formula1>
    </dataValidation>
    <dataValidation type="list" allowBlank="1" showInputMessage="1" showErrorMessage="1" sqref="O64:X64" xr:uid="{00000000-0002-0000-0800-00005C000000}">
      <formula1>楽天ペイ大項目</formula1>
    </dataValidation>
    <dataValidation type="custom" allowBlank="1" showInputMessage="1" showErrorMessage="1" sqref="Q86:R86 AA85:AB86 AK85:AL86" xr:uid="{00000000-0002-0000-0800-00005D000000}">
      <formula1>OR(AND(1&lt;=Q85,Q85&lt;=9),AND(11&lt;=Q85,Q85&lt;=126),AND(128&lt;=Q85,Q85&lt;=223))</formula1>
    </dataValidation>
    <dataValidation type="custom" allowBlank="1" showInputMessage="1" showErrorMessage="1" sqref="S85:T86 AC85:AD86 AM85:AN86" xr:uid="{00000000-0002-0000-0800-00005E000000}">
      <formula1>IF(Q85="","",IF(Q85=172,OR(AND(0&lt;=S85,S85&lt;=15),AND(32&lt;=S85,S85&lt;=255)),IF(Q85=192,OR(AND(0&lt;=S85,S85&lt;=167),AND(169&lt;=S85,S85&lt;=255)),AND(0&lt;=S85,S85&lt;=255))))</formula1>
    </dataValidation>
    <dataValidation type="custom" allowBlank="1" showInputMessage="1" showErrorMessage="1" sqref="U85:X86 AE85:AH86 AO85:AR86" xr:uid="{00000000-0002-0000-0800-00005F000000}">
      <formula1>AND(0&lt;=U85,U85&lt;=255)</formula1>
    </dataValidation>
    <dataValidation type="custom" allowBlank="1" showInputMessage="1" showErrorMessage="1" sqref="Q85:R85" xr:uid="{00000000-0002-0000-0800-000060000000}">
      <formula1>OR(AND(1&lt;=XFA84,XFA84&lt;=9),AND(11&lt;=XFA84,XFA84&lt;=126),AND(128&lt;=XFA84,XFA84&lt;=223))</formula1>
    </dataValidation>
    <dataValidation imeMode="disabled" allowBlank="1" showInputMessage="1" sqref="AP5:AT5" xr:uid="{00000000-0002-0000-0800-000061000000}"/>
    <dataValidation type="list" allowBlank="1" showInputMessage="1" showErrorMessage="1" sqref="O79:V79" xr:uid="{00000000-0002-0000-0800-000062000000}">
      <formula1>JCoin業種</formula1>
    </dataValidation>
    <dataValidation type="list" allowBlank="1" showInputMessage="1" showErrorMessage="1" sqref="AA79:AH79" xr:uid="{00000000-0002-0000-0800-000063000000}">
      <formula1>INDIRECT("JCoin"&amp;$AV$79)</formula1>
    </dataValidation>
    <dataValidation type="list" allowBlank="1" showInputMessage="1" showErrorMessage="1" sqref="AN33:AO33" xr:uid="{00000000-0002-0000-0800-000064000000}">
      <formula1>"JCB,イオン"</formula1>
    </dataValidation>
    <dataValidation type="list" allowBlank="1" showInputMessage="1" showErrorMessage="1" sqref="AN30:AO30" xr:uid="{00000000-0002-0000-0800-000065000000}">
      <formula1>"JCB,楽天"</formula1>
    </dataValidation>
    <dataValidation type="list" allowBlank="1" showInputMessage="1" showErrorMessage="1" sqref="AN29:AO29" xr:uid="{00000000-0002-0000-0800-000066000000}">
      <formula1>"JCB,西武鉄道,東急電鉄,東京都交通局,東武鉄道,京成電鉄,JR西日本,JR東日本,JR東海"</formula1>
    </dataValidation>
    <dataValidation type="list" allowBlank="1" showInputMessage="1" showErrorMessage="1" sqref="AN31:AO31" xr:uid="{00000000-0002-0000-0800-000067000000}">
      <formula1>"UC,イオン"</formula1>
    </dataValidation>
    <dataValidation type="list" allowBlank="1" showInputMessage="1" showErrorMessage="1" sqref="O32" xr:uid="{00000000-0002-0000-0800-000068000000}">
      <formula1>"一般,タクシー"</formula1>
    </dataValidation>
    <dataValidation type="list" allowBlank="1" showInputMessage="1" showErrorMessage="1" sqref="C44:I44" xr:uid="{00000000-0002-0000-0800-000069000000}">
      <formula1>"Alipay+,Alipay"</formula1>
    </dataValidation>
    <dataValidation type="list" allowBlank="1" showInputMessage="1" showErrorMessage="1" sqref="AR44:AT44" xr:uid="{00000000-0002-0000-0800-00006A000000}">
      <formula1>"直接接続,電文変換"</formula1>
    </dataValidation>
    <dataValidation type="custom" imeMode="disabled" allowBlank="1" showInputMessage="1" showErrorMessage="1" errorTitle="事前調整番号" error="半角で入力してください。" sqref="AO15:AT15" xr:uid="{00000000-0002-0000-0800-00006B000000}">
      <formula1>LEN(AO15)=LENB(AO15)</formula1>
    </dataValidation>
    <dataValidation type="custom" imeMode="halfAlpha" allowBlank="1" showErrorMessage="1" error="半角英数字で入力してください。" promptTitle="パートナーコード" prompt="パートナー案件で無い場合は『-』と記入して下さい" sqref="I4:K4" xr:uid="{00000000-0002-0000-0800-00006C000000}">
      <formula1>AND(COUNT(INDEX(FIND(MID(UPPER(I4)&amp;REPT("*",25),ROW($1:$25),1),"ABCDEFGHIJKLMNOPQRSTUVWXYZ1234567890-,  "),))=LEN(I4),LEN(I4)&lt;26)</formula1>
    </dataValidation>
    <dataValidation type="custom" errorStyle="warning" imeMode="disabled" allowBlank="1" showInputMessage="1" showErrorMessage="1" error="事前調整番号の入力がありません。_x000a_手数料条件を確認してください。" sqref="AA16:AD16" xr:uid="{00000000-0002-0000-0800-00006D000000}">
      <formula1>AV10="OK"</formula1>
    </dataValidation>
    <dataValidation type="list" allowBlank="1" showInputMessage="1" showErrorMessage="1" sqref="J126:U126" xr:uid="{00000000-0002-0000-0800-00006E000000}">
      <formula1>"A920SB,A920MAX"</formula1>
    </dataValidation>
    <dataValidation type="textLength" imeMode="disabled" operator="equal" allowBlank="1" showInputMessage="1" showErrorMessage="1" errorTitle="サービスID" error="3桁で入力ください。" sqref="P185:S185" xr:uid="{F8975239-EF3E-42DF-9395-95F7452AB34E}">
      <formula1>3</formula1>
    </dataValidation>
    <dataValidation type="textLength" imeMode="disabled" operator="equal" allowBlank="1" showInputMessage="1" showErrorMessage="1" errorTitle="マーチャントID" error="5桁で入力ください。" sqref="P184:S184" xr:uid="{19C93AD5-5D97-4BD0-9510-F4623DB1C0B0}">
      <formula1>5</formula1>
    </dataValidation>
  </dataValidations>
  <printOptions horizontalCentered="1" verticalCentered="1"/>
  <pageMargins left="0" right="0" top="0" bottom="0" header="0" footer="0"/>
  <pageSetup paperSize="9" scale="23" orientation="landscape" r:id="rId1"/>
  <headerFooter alignWithMargins="0"/>
  <ignoredErrors>
    <ignoredError sqref="DN116 DN10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2" r:id="rId4" name="Check Box 494">
              <controlPr defaultSize="0" autoFill="0" autoLine="0" autoPict="0">
                <anchor moveWithCells="1">
                  <from>
                    <xdr:col>11</xdr:col>
                    <xdr:colOff>184150</xdr:colOff>
                    <xdr:row>20</xdr:row>
                    <xdr:rowOff>12700</xdr:rowOff>
                  </from>
                  <to>
                    <xdr:col>13</xdr:col>
                    <xdr:colOff>19050</xdr:colOff>
                    <xdr:row>20</xdr:row>
                    <xdr:rowOff>228600</xdr:rowOff>
                  </to>
                </anchor>
              </controlPr>
            </control>
          </mc:Choice>
        </mc:AlternateContent>
        <mc:AlternateContent xmlns:mc="http://schemas.openxmlformats.org/markup-compatibility/2006">
          <mc:Choice Requires="x14">
            <control shapeId="7663" r:id="rId5" name="Check Box 495">
              <controlPr defaultSize="0" autoFill="0" autoLine="0" autoPict="0">
                <anchor moveWithCells="1">
                  <from>
                    <xdr:col>11</xdr:col>
                    <xdr:colOff>184150</xdr:colOff>
                    <xdr:row>21</xdr:row>
                    <xdr:rowOff>12700</xdr:rowOff>
                  </from>
                  <to>
                    <xdr:col>13</xdr:col>
                    <xdr:colOff>19050</xdr:colOff>
                    <xdr:row>21</xdr:row>
                    <xdr:rowOff>228600</xdr:rowOff>
                  </to>
                </anchor>
              </controlPr>
            </control>
          </mc:Choice>
        </mc:AlternateContent>
        <mc:AlternateContent xmlns:mc="http://schemas.openxmlformats.org/markup-compatibility/2006">
          <mc:Choice Requires="x14">
            <control shapeId="7664" r:id="rId6" name="Check Box 496">
              <controlPr defaultSize="0" autoFill="0" autoLine="0" autoPict="0">
                <anchor moveWithCells="1">
                  <from>
                    <xdr:col>11</xdr:col>
                    <xdr:colOff>184150</xdr:colOff>
                    <xdr:row>22</xdr:row>
                    <xdr:rowOff>12700</xdr:rowOff>
                  </from>
                  <to>
                    <xdr:col>13</xdr:col>
                    <xdr:colOff>19050</xdr:colOff>
                    <xdr:row>22</xdr:row>
                    <xdr:rowOff>228600</xdr:rowOff>
                  </to>
                </anchor>
              </controlPr>
            </control>
          </mc:Choice>
        </mc:AlternateContent>
        <mc:AlternateContent xmlns:mc="http://schemas.openxmlformats.org/markup-compatibility/2006">
          <mc:Choice Requires="x14">
            <control shapeId="7666" r:id="rId7" name="Check Box 498">
              <controlPr defaultSize="0" autoFill="0" autoLine="0" autoPict="0">
                <anchor moveWithCells="1">
                  <from>
                    <xdr:col>11</xdr:col>
                    <xdr:colOff>184150</xdr:colOff>
                    <xdr:row>19</xdr:row>
                    <xdr:rowOff>31750</xdr:rowOff>
                  </from>
                  <to>
                    <xdr:col>13</xdr:col>
                    <xdr:colOff>19050</xdr:colOff>
                    <xdr:row>19</xdr:row>
                    <xdr:rowOff>241300</xdr:rowOff>
                  </to>
                </anchor>
              </controlPr>
            </control>
          </mc:Choice>
        </mc:AlternateContent>
        <mc:AlternateContent xmlns:mc="http://schemas.openxmlformats.org/markup-compatibility/2006">
          <mc:Choice Requires="x14">
            <control shapeId="7667" r:id="rId8" name="Check Box 499">
              <controlPr defaultSize="0" autoFill="0" autoLine="0" autoPict="0">
                <anchor moveWithCells="1">
                  <from>
                    <xdr:col>9</xdr:col>
                    <xdr:colOff>146050</xdr:colOff>
                    <xdr:row>17</xdr:row>
                    <xdr:rowOff>12700</xdr:rowOff>
                  </from>
                  <to>
                    <xdr:col>10</xdr:col>
                    <xdr:colOff>247650</xdr:colOff>
                    <xdr:row>17</xdr:row>
                    <xdr:rowOff>228600</xdr:rowOff>
                  </to>
                </anchor>
              </controlPr>
            </control>
          </mc:Choice>
        </mc:AlternateContent>
        <mc:AlternateContent xmlns:mc="http://schemas.openxmlformats.org/markup-compatibility/2006">
          <mc:Choice Requires="x14">
            <control shapeId="7690" r:id="rId9" name="Check Box 522">
              <controlPr defaultSize="0" autoFill="0" autoLine="0" autoPict="0">
                <anchor moveWithCells="1">
                  <from>
                    <xdr:col>9</xdr:col>
                    <xdr:colOff>171450</xdr:colOff>
                    <xdr:row>28</xdr:row>
                    <xdr:rowOff>12700</xdr:rowOff>
                  </from>
                  <to>
                    <xdr:col>11</xdr:col>
                    <xdr:colOff>19050</xdr:colOff>
                    <xdr:row>28</xdr:row>
                    <xdr:rowOff>228600</xdr:rowOff>
                  </to>
                </anchor>
              </controlPr>
            </control>
          </mc:Choice>
        </mc:AlternateContent>
        <mc:AlternateContent xmlns:mc="http://schemas.openxmlformats.org/markup-compatibility/2006">
          <mc:Choice Requires="x14">
            <control shapeId="7691" r:id="rId10" name="Check Box 523">
              <controlPr defaultSize="0" autoFill="0" autoLine="0" autoPict="0">
                <anchor moveWithCells="1">
                  <from>
                    <xdr:col>9</xdr:col>
                    <xdr:colOff>171450</xdr:colOff>
                    <xdr:row>29</xdr:row>
                    <xdr:rowOff>19050</xdr:rowOff>
                  </from>
                  <to>
                    <xdr:col>11</xdr:col>
                    <xdr:colOff>19050</xdr:colOff>
                    <xdr:row>29</xdr:row>
                    <xdr:rowOff>228600</xdr:rowOff>
                  </to>
                </anchor>
              </controlPr>
            </control>
          </mc:Choice>
        </mc:AlternateContent>
        <mc:AlternateContent xmlns:mc="http://schemas.openxmlformats.org/markup-compatibility/2006">
          <mc:Choice Requires="x14">
            <control shapeId="7767" r:id="rId11" name="Check Box 599">
              <controlPr defaultSize="0" autoFill="0" autoLine="0" autoPict="0">
                <anchor moveWithCells="1">
                  <from>
                    <xdr:col>9</xdr:col>
                    <xdr:colOff>171450</xdr:colOff>
                    <xdr:row>30</xdr:row>
                    <xdr:rowOff>19050</xdr:rowOff>
                  </from>
                  <to>
                    <xdr:col>11</xdr:col>
                    <xdr:colOff>19050</xdr:colOff>
                    <xdr:row>30</xdr:row>
                    <xdr:rowOff>228600</xdr:rowOff>
                  </to>
                </anchor>
              </controlPr>
            </control>
          </mc:Choice>
        </mc:AlternateContent>
        <mc:AlternateContent xmlns:mc="http://schemas.openxmlformats.org/markup-compatibility/2006">
          <mc:Choice Requires="x14">
            <control shapeId="7768" r:id="rId12" name="Check Box 600">
              <controlPr defaultSize="0" autoFill="0" autoLine="0" autoPict="0">
                <anchor moveWithCells="1">
                  <from>
                    <xdr:col>9</xdr:col>
                    <xdr:colOff>171450</xdr:colOff>
                    <xdr:row>32</xdr:row>
                    <xdr:rowOff>19050</xdr:rowOff>
                  </from>
                  <to>
                    <xdr:col>11</xdr:col>
                    <xdr:colOff>19050</xdr:colOff>
                    <xdr:row>32</xdr:row>
                    <xdr:rowOff>228600</xdr:rowOff>
                  </to>
                </anchor>
              </controlPr>
            </control>
          </mc:Choice>
        </mc:AlternateContent>
        <mc:AlternateContent xmlns:mc="http://schemas.openxmlformats.org/markup-compatibility/2006">
          <mc:Choice Requires="x14">
            <control shapeId="7769" r:id="rId13" name="Check Box 601">
              <controlPr defaultSize="0" autoFill="0" autoLine="0" autoPict="0">
                <anchor moveWithCells="1">
                  <from>
                    <xdr:col>9</xdr:col>
                    <xdr:colOff>171450</xdr:colOff>
                    <xdr:row>33</xdr:row>
                    <xdr:rowOff>19050</xdr:rowOff>
                  </from>
                  <to>
                    <xdr:col>11</xdr:col>
                    <xdr:colOff>19050</xdr:colOff>
                    <xdr:row>33</xdr:row>
                    <xdr:rowOff>228600</xdr:rowOff>
                  </to>
                </anchor>
              </controlPr>
            </control>
          </mc:Choice>
        </mc:AlternateContent>
        <mc:AlternateContent xmlns:mc="http://schemas.openxmlformats.org/markup-compatibility/2006">
          <mc:Choice Requires="x14">
            <control shapeId="8147" r:id="rId14" name="Check Box 979">
              <controlPr defaultSize="0" autoFill="0" autoLine="0" autoPict="0">
                <anchor moveWithCells="1">
                  <from>
                    <xdr:col>9</xdr:col>
                    <xdr:colOff>146050</xdr:colOff>
                    <xdr:row>15</xdr:row>
                    <xdr:rowOff>133350</xdr:rowOff>
                  </from>
                  <to>
                    <xdr:col>10</xdr:col>
                    <xdr:colOff>247650</xdr:colOff>
                    <xdr:row>16</xdr:row>
                    <xdr:rowOff>107950</xdr:rowOff>
                  </to>
                </anchor>
              </controlPr>
            </control>
          </mc:Choice>
        </mc:AlternateContent>
        <mc:AlternateContent xmlns:mc="http://schemas.openxmlformats.org/markup-compatibility/2006">
          <mc:Choice Requires="x14">
            <control shapeId="8182" r:id="rId15" name="Check Box 1014">
              <controlPr defaultSize="0" autoFill="0" autoLine="0" autoPict="0">
                <anchor moveWithCells="1">
                  <from>
                    <xdr:col>9</xdr:col>
                    <xdr:colOff>171450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8183" r:id="rId16" name="Check Box 1015">
              <controlPr defaultSize="0" autoFill="0" autoLine="0" autoPict="0">
                <anchor moveWithCells="1">
                  <from>
                    <xdr:col>9</xdr:col>
                    <xdr:colOff>171450</xdr:colOff>
                    <xdr:row>44</xdr:row>
                    <xdr:rowOff>19050</xdr:rowOff>
                  </from>
                  <to>
                    <xdr:col>11</xdr:col>
                    <xdr:colOff>19050</xdr:colOff>
                    <xdr:row>44</xdr:row>
                    <xdr:rowOff>228600</xdr:rowOff>
                  </to>
                </anchor>
              </controlPr>
            </control>
          </mc:Choice>
        </mc:AlternateContent>
        <mc:AlternateContent xmlns:mc="http://schemas.openxmlformats.org/markup-compatibility/2006">
          <mc:Choice Requires="x14">
            <control shapeId="8184" r:id="rId17" name="Check Box 1016">
              <controlPr defaultSize="0" autoFill="0" autoLine="0" autoPict="0">
                <anchor moveWithCells="1">
                  <from>
                    <xdr:col>9</xdr:col>
                    <xdr:colOff>171450</xdr:colOff>
                    <xdr:row>46</xdr:row>
                    <xdr:rowOff>19050</xdr:rowOff>
                  </from>
                  <to>
                    <xdr:col>11</xdr:col>
                    <xdr:colOff>19050</xdr:colOff>
                    <xdr:row>46</xdr:row>
                    <xdr:rowOff>228600</xdr:rowOff>
                  </to>
                </anchor>
              </controlPr>
            </control>
          </mc:Choice>
        </mc:AlternateContent>
        <mc:AlternateContent xmlns:mc="http://schemas.openxmlformats.org/markup-compatibility/2006">
          <mc:Choice Requires="x14">
            <control shapeId="8185" r:id="rId18" name="Check Box 1017">
              <controlPr defaultSize="0" autoFill="0" autoLine="0" autoPict="0">
                <anchor moveWithCells="1">
                  <from>
                    <xdr:col>9</xdr:col>
                    <xdr:colOff>171450</xdr:colOff>
                    <xdr:row>49</xdr:row>
                    <xdr:rowOff>19050</xdr:rowOff>
                  </from>
                  <to>
                    <xdr:col>11</xdr:col>
                    <xdr:colOff>19050</xdr:colOff>
                    <xdr:row>49</xdr:row>
                    <xdr:rowOff>228600</xdr:rowOff>
                  </to>
                </anchor>
              </controlPr>
            </control>
          </mc:Choice>
        </mc:AlternateContent>
        <mc:AlternateContent xmlns:mc="http://schemas.openxmlformats.org/markup-compatibility/2006">
          <mc:Choice Requires="x14">
            <control shapeId="8187" r:id="rId19" name="Group Box 1019">
              <controlPr defaultSize="0" autoFill="0" autoPict="0">
                <anchor moveWithCells="1">
                  <from>
                    <xdr:col>27</xdr:col>
                    <xdr:colOff>203200</xdr:colOff>
                    <xdr:row>70</xdr:row>
                    <xdr:rowOff>203200</xdr:rowOff>
                  </from>
                  <to>
                    <xdr:col>45</xdr:col>
                    <xdr:colOff>203200</xdr:colOff>
                    <xdr:row>74</xdr:row>
                    <xdr:rowOff>69850</xdr:rowOff>
                  </to>
                </anchor>
              </controlPr>
            </control>
          </mc:Choice>
        </mc:AlternateContent>
        <mc:AlternateContent xmlns:mc="http://schemas.openxmlformats.org/markup-compatibility/2006">
          <mc:Choice Requires="x14">
            <control shapeId="8188" r:id="rId20" name="Option Button 1020">
              <controlPr defaultSize="0" autoFill="0" autoLine="0" autoPict="0">
                <anchor moveWithCells="1">
                  <from>
                    <xdr:col>28</xdr:col>
                    <xdr:colOff>133350</xdr:colOff>
                    <xdr:row>71</xdr:row>
                    <xdr:rowOff>19050</xdr:rowOff>
                  </from>
                  <to>
                    <xdr:col>31</xdr:col>
                    <xdr:colOff>190500</xdr:colOff>
                    <xdr:row>71</xdr:row>
                    <xdr:rowOff>228600</xdr:rowOff>
                  </to>
                </anchor>
              </controlPr>
            </control>
          </mc:Choice>
        </mc:AlternateContent>
        <mc:AlternateContent xmlns:mc="http://schemas.openxmlformats.org/markup-compatibility/2006">
          <mc:Choice Requires="x14">
            <control shapeId="8189" r:id="rId21" name="Option Button 1021">
              <controlPr defaultSize="0" autoFill="0" autoLine="0" autoPict="0">
                <anchor moveWithCells="1">
                  <from>
                    <xdr:col>33</xdr:col>
                    <xdr:colOff>38100</xdr:colOff>
                    <xdr:row>71</xdr:row>
                    <xdr:rowOff>19050</xdr:rowOff>
                  </from>
                  <to>
                    <xdr:col>36</xdr:col>
                    <xdr:colOff>107950</xdr:colOff>
                    <xdr:row>71</xdr:row>
                    <xdr:rowOff>228600</xdr:rowOff>
                  </to>
                </anchor>
              </controlPr>
            </control>
          </mc:Choice>
        </mc:AlternateContent>
        <mc:AlternateContent xmlns:mc="http://schemas.openxmlformats.org/markup-compatibility/2006">
          <mc:Choice Requires="x14">
            <control shapeId="8190" r:id="rId22" name="Option Button 1022">
              <controlPr defaultSize="0" autoFill="0" autoLine="0" autoPict="0">
                <anchor moveWithCells="1">
                  <from>
                    <xdr:col>40</xdr:col>
                    <xdr:colOff>19050</xdr:colOff>
                    <xdr:row>71</xdr:row>
                    <xdr:rowOff>19050</xdr:rowOff>
                  </from>
                  <to>
                    <xdr:col>43</xdr:col>
                    <xdr:colOff>76200</xdr:colOff>
                    <xdr:row>71</xdr:row>
                    <xdr:rowOff>228600</xdr:rowOff>
                  </to>
                </anchor>
              </controlPr>
            </control>
          </mc:Choice>
        </mc:AlternateContent>
        <mc:AlternateContent xmlns:mc="http://schemas.openxmlformats.org/markup-compatibility/2006">
          <mc:Choice Requires="x14">
            <control shapeId="8191" r:id="rId23" name="Check Box 1023">
              <controlPr defaultSize="0" autoFill="0" autoLine="0" autoPict="0">
                <anchor moveWithCells="1">
                  <from>
                    <xdr:col>9</xdr:col>
                    <xdr:colOff>171450</xdr:colOff>
                    <xdr:row>59</xdr:row>
                    <xdr:rowOff>19050</xdr:rowOff>
                  </from>
                  <to>
                    <xdr:col>11</xdr:col>
                    <xdr:colOff>19050</xdr:colOff>
                    <xdr:row>59</xdr:row>
                    <xdr:rowOff>228600</xdr:rowOff>
                  </to>
                </anchor>
              </controlPr>
            </control>
          </mc:Choice>
        </mc:AlternateContent>
        <mc:AlternateContent xmlns:mc="http://schemas.openxmlformats.org/markup-compatibility/2006">
          <mc:Choice Requires="x14">
            <control shapeId="102400" r:id="rId24" name="Check Box 1024">
              <controlPr defaultSize="0" autoFill="0" autoLine="0" autoPict="0">
                <anchor moveWithCells="1">
                  <from>
                    <xdr:col>9</xdr:col>
                    <xdr:colOff>171450</xdr:colOff>
                    <xdr:row>62</xdr:row>
                    <xdr:rowOff>19050</xdr:rowOff>
                  </from>
                  <to>
                    <xdr:col>11</xdr:col>
                    <xdr:colOff>19050</xdr:colOff>
                    <xdr:row>62</xdr:row>
                    <xdr:rowOff>228600</xdr:rowOff>
                  </to>
                </anchor>
              </controlPr>
            </control>
          </mc:Choice>
        </mc:AlternateContent>
        <mc:AlternateContent xmlns:mc="http://schemas.openxmlformats.org/markup-compatibility/2006">
          <mc:Choice Requires="x14">
            <control shapeId="102401" r:id="rId25" name="Check Box 1025">
              <controlPr defaultSize="0" autoFill="0" autoLine="0" autoPict="0">
                <anchor moveWithCells="1">
                  <from>
                    <xdr:col>9</xdr:col>
                    <xdr:colOff>171450</xdr:colOff>
                    <xdr:row>64</xdr:row>
                    <xdr:rowOff>19050</xdr:rowOff>
                  </from>
                  <to>
                    <xdr:col>11</xdr:col>
                    <xdr:colOff>19050</xdr:colOff>
                    <xdr:row>64</xdr:row>
                    <xdr:rowOff>228600</xdr:rowOff>
                  </to>
                </anchor>
              </controlPr>
            </control>
          </mc:Choice>
        </mc:AlternateContent>
        <mc:AlternateContent xmlns:mc="http://schemas.openxmlformats.org/markup-compatibility/2006">
          <mc:Choice Requires="x14">
            <control shapeId="102403" r:id="rId26" name="Check Box 1027">
              <controlPr defaultSize="0" autoFill="0" autoLine="0" autoPict="0">
                <anchor moveWithCells="1">
                  <from>
                    <xdr:col>9</xdr:col>
                    <xdr:colOff>171450</xdr:colOff>
                    <xdr:row>70</xdr:row>
                    <xdr:rowOff>19050</xdr:rowOff>
                  </from>
                  <to>
                    <xdr:col>11</xdr:col>
                    <xdr:colOff>19050</xdr:colOff>
                    <xdr:row>70</xdr:row>
                    <xdr:rowOff>228600</xdr:rowOff>
                  </to>
                </anchor>
              </controlPr>
            </control>
          </mc:Choice>
        </mc:AlternateContent>
        <mc:AlternateContent xmlns:mc="http://schemas.openxmlformats.org/markup-compatibility/2006">
          <mc:Choice Requires="x14">
            <control shapeId="102404" r:id="rId27" name="Check Box 1028">
              <controlPr defaultSize="0" autoFill="0" autoLine="0" autoPict="0">
                <anchor moveWithCells="1">
                  <from>
                    <xdr:col>9</xdr:col>
                    <xdr:colOff>171450</xdr:colOff>
                    <xdr:row>74</xdr:row>
                    <xdr:rowOff>19050</xdr:rowOff>
                  </from>
                  <to>
                    <xdr:col>11</xdr:col>
                    <xdr:colOff>19050</xdr:colOff>
                    <xdr:row>74</xdr:row>
                    <xdr:rowOff>228600</xdr:rowOff>
                  </to>
                </anchor>
              </controlPr>
            </control>
          </mc:Choice>
        </mc:AlternateContent>
        <mc:AlternateContent xmlns:mc="http://schemas.openxmlformats.org/markup-compatibility/2006">
          <mc:Choice Requires="x14">
            <control shapeId="102405" r:id="rId28" name="Check Box 1029">
              <controlPr defaultSize="0" autoFill="0" autoLine="0" autoPict="0">
                <anchor moveWithCells="1">
                  <from>
                    <xdr:col>9</xdr:col>
                    <xdr:colOff>171450</xdr:colOff>
                    <xdr:row>77</xdr:row>
                    <xdr:rowOff>19050</xdr:rowOff>
                  </from>
                  <to>
                    <xdr:col>11</xdr:col>
                    <xdr:colOff>19050</xdr:colOff>
                    <xdr:row>77</xdr:row>
                    <xdr:rowOff>228600</xdr:rowOff>
                  </to>
                </anchor>
              </controlPr>
            </control>
          </mc:Choice>
        </mc:AlternateContent>
        <mc:AlternateContent xmlns:mc="http://schemas.openxmlformats.org/markup-compatibility/2006">
          <mc:Choice Requires="x14">
            <control shapeId="102408" r:id="rId29" name="Group Box 1032">
              <controlPr defaultSize="0" autoFill="0" autoPict="0">
                <anchor moveWithCells="1">
                  <from>
                    <xdr:col>14</xdr:col>
                    <xdr:colOff>50800</xdr:colOff>
                    <xdr:row>60</xdr:row>
                    <xdr:rowOff>241300</xdr:rowOff>
                  </from>
                  <to>
                    <xdr:col>23</xdr:col>
                    <xdr:colOff>209550</xdr:colOff>
                    <xdr:row>62</xdr:row>
                    <xdr:rowOff>209550</xdr:rowOff>
                  </to>
                </anchor>
              </controlPr>
            </control>
          </mc:Choice>
        </mc:AlternateContent>
        <mc:AlternateContent xmlns:mc="http://schemas.openxmlformats.org/markup-compatibility/2006">
          <mc:Choice Requires="x14">
            <control shapeId="102409" r:id="rId30" name="Option Button 1033">
              <controlPr defaultSize="0" autoFill="0" autoLine="0" autoPict="0">
                <anchor moveWithCells="1">
                  <from>
                    <xdr:col>14</xdr:col>
                    <xdr:colOff>127000</xdr:colOff>
                    <xdr:row>61</xdr:row>
                    <xdr:rowOff>12700</xdr:rowOff>
                  </from>
                  <to>
                    <xdr:col>17</xdr:col>
                    <xdr:colOff>241300</xdr:colOff>
                    <xdr:row>61</xdr:row>
                    <xdr:rowOff>209550</xdr:rowOff>
                  </to>
                </anchor>
              </controlPr>
            </control>
          </mc:Choice>
        </mc:AlternateContent>
        <mc:AlternateContent xmlns:mc="http://schemas.openxmlformats.org/markup-compatibility/2006">
          <mc:Choice Requires="x14">
            <control shapeId="102410" r:id="rId31" name="Option Button 1034">
              <controlPr defaultSize="0" autoFill="0" autoLine="0" autoPict="0">
                <anchor moveWithCells="1">
                  <from>
                    <xdr:col>19</xdr:col>
                    <xdr:colOff>38100</xdr:colOff>
                    <xdr:row>61</xdr:row>
                    <xdr:rowOff>12700</xdr:rowOff>
                  </from>
                  <to>
                    <xdr:col>22</xdr:col>
                    <xdr:colOff>152400</xdr:colOff>
                    <xdr:row>61</xdr:row>
                    <xdr:rowOff>209550</xdr:rowOff>
                  </to>
                </anchor>
              </controlPr>
            </control>
          </mc:Choice>
        </mc:AlternateContent>
        <mc:AlternateContent xmlns:mc="http://schemas.openxmlformats.org/markup-compatibility/2006">
          <mc:Choice Requires="x14">
            <control shapeId="102413" r:id="rId32" name="Group Box 1037">
              <controlPr defaultSize="0" autoFill="0" autoPict="0">
                <anchor moveWithCells="1">
                  <from>
                    <xdr:col>28</xdr:col>
                    <xdr:colOff>12700</xdr:colOff>
                    <xdr:row>64</xdr:row>
                    <xdr:rowOff>228600</xdr:rowOff>
                  </from>
                  <to>
                    <xdr:col>36</xdr:col>
                    <xdr:colOff>0</xdr:colOff>
                    <xdr:row>70</xdr:row>
                    <xdr:rowOff>12700</xdr:rowOff>
                  </to>
                </anchor>
              </controlPr>
            </control>
          </mc:Choice>
        </mc:AlternateContent>
        <mc:AlternateContent xmlns:mc="http://schemas.openxmlformats.org/markup-compatibility/2006">
          <mc:Choice Requires="x14">
            <control shapeId="102414" r:id="rId33" name="Option Button 1038">
              <controlPr defaultSize="0" autoFill="0" autoLine="0" autoPict="0">
                <anchor moveWithCells="1">
                  <from>
                    <xdr:col>28</xdr:col>
                    <xdr:colOff>127000</xdr:colOff>
                    <xdr:row>65</xdr:row>
                    <xdr:rowOff>19050</xdr:rowOff>
                  </from>
                  <to>
                    <xdr:col>31</xdr:col>
                    <xdr:colOff>241300</xdr:colOff>
                    <xdr:row>65</xdr:row>
                    <xdr:rowOff>228600</xdr:rowOff>
                  </to>
                </anchor>
              </controlPr>
            </control>
          </mc:Choice>
        </mc:AlternateContent>
        <mc:AlternateContent xmlns:mc="http://schemas.openxmlformats.org/markup-compatibility/2006">
          <mc:Choice Requires="x14">
            <control shapeId="102415" r:id="rId34" name="Option Button 1039">
              <controlPr defaultSize="0" autoFill="0" autoLine="0" autoPict="0">
                <anchor moveWithCells="1">
                  <from>
                    <xdr:col>32</xdr:col>
                    <xdr:colOff>107950</xdr:colOff>
                    <xdr:row>65</xdr:row>
                    <xdr:rowOff>19050</xdr:rowOff>
                  </from>
                  <to>
                    <xdr:col>35</xdr:col>
                    <xdr:colOff>228600</xdr:colOff>
                    <xdr:row>65</xdr:row>
                    <xdr:rowOff>228600</xdr:rowOff>
                  </to>
                </anchor>
              </controlPr>
            </control>
          </mc:Choice>
        </mc:AlternateContent>
        <mc:AlternateContent xmlns:mc="http://schemas.openxmlformats.org/markup-compatibility/2006">
          <mc:Choice Requires="x14">
            <control shapeId="102416" r:id="rId35" name="Group Box 1040">
              <controlPr defaultSize="0" autoFill="0" autoPict="0">
                <anchor moveWithCells="1">
                  <from>
                    <xdr:col>14</xdr:col>
                    <xdr:colOff>38100</xdr:colOff>
                    <xdr:row>76</xdr:row>
                    <xdr:rowOff>0</xdr:rowOff>
                  </from>
                  <to>
                    <xdr:col>23</xdr:col>
                    <xdr:colOff>241300</xdr:colOff>
                    <xdr:row>78</xdr:row>
                    <xdr:rowOff>19050</xdr:rowOff>
                  </to>
                </anchor>
              </controlPr>
            </control>
          </mc:Choice>
        </mc:AlternateContent>
        <mc:AlternateContent xmlns:mc="http://schemas.openxmlformats.org/markup-compatibility/2006">
          <mc:Choice Requires="x14">
            <control shapeId="102560" r:id="rId36" name="Group Box 1184">
              <controlPr defaultSize="0" autoFill="0" autoPict="0">
                <anchor moveWithCells="1">
                  <from>
                    <xdr:col>14</xdr:col>
                    <xdr:colOff>31750</xdr:colOff>
                    <xdr:row>80</xdr:row>
                    <xdr:rowOff>247650</xdr:rowOff>
                  </from>
                  <to>
                    <xdr:col>23</xdr:col>
                    <xdr:colOff>228600</xdr:colOff>
                    <xdr:row>83</xdr:row>
                    <xdr:rowOff>0</xdr:rowOff>
                  </to>
                </anchor>
              </controlPr>
            </control>
          </mc:Choice>
        </mc:AlternateContent>
        <mc:AlternateContent xmlns:mc="http://schemas.openxmlformats.org/markup-compatibility/2006">
          <mc:Choice Requires="x14">
            <control shapeId="102561" r:id="rId37" name="Option Button 1185">
              <controlPr defaultSize="0" autoFill="0" autoLine="0" autoPict="0">
                <anchor moveWithCells="1">
                  <from>
                    <xdr:col>14</xdr:col>
                    <xdr:colOff>203200</xdr:colOff>
                    <xdr:row>81</xdr:row>
                    <xdr:rowOff>0</xdr:rowOff>
                  </from>
                  <to>
                    <xdr:col>18</xdr:col>
                    <xdr:colOff>107950</xdr:colOff>
                    <xdr:row>81</xdr:row>
                    <xdr:rowOff>241300</xdr:rowOff>
                  </to>
                </anchor>
              </controlPr>
            </control>
          </mc:Choice>
        </mc:AlternateContent>
        <mc:AlternateContent xmlns:mc="http://schemas.openxmlformats.org/markup-compatibility/2006">
          <mc:Choice Requires="x14">
            <control shapeId="102562" r:id="rId38" name="Option Button 1186">
              <controlPr defaultSize="0" autoFill="0" autoLine="0" autoPict="0">
                <anchor moveWithCells="1">
                  <from>
                    <xdr:col>19</xdr:col>
                    <xdr:colOff>209550</xdr:colOff>
                    <xdr:row>81</xdr:row>
                    <xdr:rowOff>0</xdr:rowOff>
                  </from>
                  <to>
                    <xdr:col>23</xdr:col>
                    <xdr:colOff>114300</xdr:colOff>
                    <xdr:row>81</xdr:row>
                    <xdr:rowOff>241300</xdr:rowOff>
                  </to>
                </anchor>
              </controlPr>
            </control>
          </mc:Choice>
        </mc:AlternateContent>
        <mc:AlternateContent xmlns:mc="http://schemas.openxmlformats.org/markup-compatibility/2006">
          <mc:Choice Requires="x14">
            <control shapeId="102569" r:id="rId39" name="Group Box 1193">
              <controlPr defaultSize="0" autoFill="0" autoPict="0">
                <anchor moveWithCells="1">
                  <from>
                    <xdr:col>10</xdr:col>
                    <xdr:colOff>31750</xdr:colOff>
                    <xdr:row>148</xdr:row>
                    <xdr:rowOff>31750</xdr:rowOff>
                  </from>
                  <to>
                    <xdr:col>45</xdr:col>
                    <xdr:colOff>190500</xdr:colOff>
                    <xdr:row>150</xdr:row>
                    <xdr:rowOff>190500</xdr:rowOff>
                  </to>
                </anchor>
              </controlPr>
            </control>
          </mc:Choice>
        </mc:AlternateContent>
        <mc:AlternateContent xmlns:mc="http://schemas.openxmlformats.org/markup-compatibility/2006">
          <mc:Choice Requires="x14">
            <control shapeId="102570" r:id="rId40" name="Option Button 1194">
              <controlPr defaultSize="0" autoFill="0" autoLine="0" autoPict="0">
                <anchor moveWithCells="1">
                  <from>
                    <xdr:col>10</xdr:col>
                    <xdr:colOff>133350</xdr:colOff>
                    <xdr:row>148</xdr:row>
                    <xdr:rowOff>69850</xdr:rowOff>
                  </from>
                  <to>
                    <xdr:col>11</xdr:col>
                    <xdr:colOff>241300</xdr:colOff>
                    <xdr:row>150</xdr:row>
                    <xdr:rowOff>114300</xdr:rowOff>
                  </to>
                </anchor>
              </controlPr>
            </control>
          </mc:Choice>
        </mc:AlternateContent>
        <mc:AlternateContent xmlns:mc="http://schemas.openxmlformats.org/markup-compatibility/2006">
          <mc:Choice Requires="x14">
            <control shapeId="102571" r:id="rId41" name="Option Button 1195">
              <controlPr defaultSize="0" autoFill="0" autoLine="0" autoPict="0">
                <anchor moveWithCells="1">
                  <from>
                    <xdr:col>22</xdr:col>
                    <xdr:colOff>133350</xdr:colOff>
                    <xdr:row>148</xdr:row>
                    <xdr:rowOff>69850</xdr:rowOff>
                  </from>
                  <to>
                    <xdr:col>23</xdr:col>
                    <xdr:colOff>241300</xdr:colOff>
                    <xdr:row>150</xdr:row>
                    <xdr:rowOff>114300</xdr:rowOff>
                  </to>
                </anchor>
              </controlPr>
            </control>
          </mc:Choice>
        </mc:AlternateContent>
        <mc:AlternateContent xmlns:mc="http://schemas.openxmlformats.org/markup-compatibility/2006">
          <mc:Choice Requires="x14">
            <control shapeId="102572" r:id="rId42" name="Option Button 1196">
              <controlPr defaultSize="0" autoFill="0" autoLine="0" autoPict="0">
                <anchor moveWithCells="1">
                  <from>
                    <xdr:col>34</xdr:col>
                    <xdr:colOff>165100</xdr:colOff>
                    <xdr:row>148</xdr:row>
                    <xdr:rowOff>69850</xdr:rowOff>
                  </from>
                  <to>
                    <xdr:col>36</xdr:col>
                    <xdr:colOff>12700</xdr:colOff>
                    <xdr:row>150</xdr:row>
                    <xdr:rowOff>114300</xdr:rowOff>
                  </to>
                </anchor>
              </controlPr>
            </control>
          </mc:Choice>
        </mc:AlternateContent>
        <mc:AlternateContent xmlns:mc="http://schemas.openxmlformats.org/markup-compatibility/2006">
          <mc:Choice Requires="x14">
            <control shapeId="102582" r:id="rId43" name="Group Box 1206">
              <controlPr defaultSize="0" autoFill="0" autoPict="0">
                <anchor moveWithCells="1">
                  <from>
                    <xdr:col>16</xdr:col>
                    <xdr:colOff>31750</xdr:colOff>
                    <xdr:row>153</xdr:row>
                    <xdr:rowOff>0</xdr:rowOff>
                  </from>
                  <to>
                    <xdr:col>27</xdr:col>
                    <xdr:colOff>241300</xdr:colOff>
                    <xdr:row>153</xdr:row>
                    <xdr:rowOff>241300</xdr:rowOff>
                  </to>
                </anchor>
              </controlPr>
            </control>
          </mc:Choice>
        </mc:AlternateContent>
        <mc:AlternateContent xmlns:mc="http://schemas.openxmlformats.org/markup-compatibility/2006">
          <mc:Choice Requires="x14">
            <control shapeId="102583" r:id="rId44" name="Option Button 1207">
              <controlPr defaultSize="0" autoFill="0" autoLine="0" autoPict="0">
                <anchor moveWithCells="1">
                  <from>
                    <xdr:col>16</xdr:col>
                    <xdr:colOff>222250</xdr:colOff>
                    <xdr:row>153</xdr:row>
                    <xdr:rowOff>0</xdr:rowOff>
                  </from>
                  <to>
                    <xdr:col>20</xdr:col>
                    <xdr:colOff>152400</xdr:colOff>
                    <xdr:row>153</xdr:row>
                    <xdr:rowOff>241300</xdr:rowOff>
                  </to>
                </anchor>
              </controlPr>
            </control>
          </mc:Choice>
        </mc:AlternateContent>
        <mc:AlternateContent xmlns:mc="http://schemas.openxmlformats.org/markup-compatibility/2006">
          <mc:Choice Requires="x14">
            <control shapeId="102584" r:id="rId45" name="Option Button 1208">
              <controlPr defaultSize="0" autoFill="0" autoLine="0" autoPict="0">
                <anchor moveWithCells="1">
                  <from>
                    <xdr:col>22</xdr:col>
                    <xdr:colOff>203200</xdr:colOff>
                    <xdr:row>153</xdr:row>
                    <xdr:rowOff>0</xdr:rowOff>
                  </from>
                  <to>
                    <xdr:col>26</xdr:col>
                    <xdr:colOff>146050</xdr:colOff>
                    <xdr:row>153</xdr:row>
                    <xdr:rowOff>241300</xdr:rowOff>
                  </to>
                </anchor>
              </controlPr>
            </control>
          </mc:Choice>
        </mc:AlternateContent>
        <mc:AlternateContent xmlns:mc="http://schemas.openxmlformats.org/markup-compatibility/2006">
          <mc:Choice Requires="x14">
            <control shapeId="102585" r:id="rId46" name="Group Box 1209">
              <controlPr defaultSize="0" autoFill="0" autoPict="0">
                <anchor moveWithCells="1">
                  <from>
                    <xdr:col>16</xdr:col>
                    <xdr:colOff>31750</xdr:colOff>
                    <xdr:row>155</xdr:row>
                    <xdr:rowOff>12700</xdr:rowOff>
                  </from>
                  <to>
                    <xdr:col>27</xdr:col>
                    <xdr:colOff>241300</xdr:colOff>
                    <xdr:row>156</xdr:row>
                    <xdr:rowOff>0</xdr:rowOff>
                  </to>
                </anchor>
              </controlPr>
            </control>
          </mc:Choice>
        </mc:AlternateContent>
        <mc:AlternateContent xmlns:mc="http://schemas.openxmlformats.org/markup-compatibility/2006">
          <mc:Choice Requires="x14">
            <control shapeId="102586" r:id="rId47" name="Option Button 1210">
              <controlPr defaultSize="0" autoFill="0" autoLine="0" autoPict="0">
                <anchor moveWithCells="1">
                  <from>
                    <xdr:col>16</xdr:col>
                    <xdr:colOff>222250</xdr:colOff>
                    <xdr:row>155</xdr:row>
                    <xdr:rowOff>12700</xdr:rowOff>
                  </from>
                  <to>
                    <xdr:col>20</xdr:col>
                    <xdr:colOff>152400</xdr:colOff>
                    <xdr:row>156</xdr:row>
                    <xdr:rowOff>0</xdr:rowOff>
                  </to>
                </anchor>
              </controlPr>
            </control>
          </mc:Choice>
        </mc:AlternateContent>
        <mc:AlternateContent xmlns:mc="http://schemas.openxmlformats.org/markup-compatibility/2006">
          <mc:Choice Requires="x14">
            <control shapeId="102587" r:id="rId48" name="Option Button 1211">
              <controlPr defaultSize="0" autoFill="0" autoLine="0" autoPict="0">
                <anchor moveWithCells="1">
                  <from>
                    <xdr:col>22</xdr:col>
                    <xdr:colOff>203200</xdr:colOff>
                    <xdr:row>155</xdr:row>
                    <xdr:rowOff>12700</xdr:rowOff>
                  </from>
                  <to>
                    <xdr:col>26</xdr:col>
                    <xdr:colOff>146050</xdr:colOff>
                    <xdr:row>156</xdr:row>
                    <xdr:rowOff>0</xdr:rowOff>
                  </to>
                </anchor>
              </controlPr>
            </control>
          </mc:Choice>
        </mc:AlternateContent>
        <mc:AlternateContent xmlns:mc="http://schemas.openxmlformats.org/markup-compatibility/2006">
          <mc:Choice Requires="x14">
            <control shapeId="102588" r:id="rId49" name="Group Box 1212">
              <controlPr defaultSize="0" autoFill="0" autoPict="0">
                <anchor moveWithCells="1">
                  <from>
                    <xdr:col>34</xdr:col>
                    <xdr:colOff>31750</xdr:colOff>
                    <xdr:row>155</xdr:row>
                    <xdr:rowOff>12700</xdr:rowOff>
                  </from>
                  <to>
                    <xdr:col>45</xdr:col>
                    <xdr:colOff>241300</xdr:colOff>
                    <xdr:row>156</xdr:row>
                    <xdr:rowOff>0</xdr:rowOff>
                  </to>
                </anchor>
              </controlPr>
            </control>
          </mc:Choice>
        </mc:AlternateContent>
        <mc:AlternateContent xmlns:mc="http://schemas.openxmlformats.org/markup-compatibility/2006">
          <mc:Choice Requires="x14">
            <control shapeId="102589" r:id="rId50" name="Option Button 1213">
              <controlPr defaultSize="0" autoFill="0" autoLine="0" autoPict="0">
                <anchor moveWithCells="1">
                  <from>
                    <xdr:col>34</xdr:col>
                    <xdr:colOff>222250</xdr:colOff>
                    <xdr:row>155</xdr:row>
                    <xdr:rowOff>12700</xdr:rowOff>
                  </from>
                  <to>
                    <xdr:col>38</xdr:col>
                    <xdr:colOff>152400</xdr:colOff>
                    <xdr:row>156</xdr:row>
                    <xdr:rowOff>0</xdr:rowOff>
                  </to>
                </anchor>
              </controlPr>
            </control>
          </mc:Choice>
        </mc:AlternateContent>
        <mc:AlternateContent xmlns:mc="http://schemas.openxmlformats.org/markup-compatibility/2006">
          <mc:Choice Requires="x14">
            <control shapeId="102590" r:id="rId51" name="Option Button 1214">
              <controlPr defaultSize="0" autoFill="0" autoLine="0" autoPict="0">
                <anchor moveWithCells="1">
                  <from>
                    <xdr:col>40</xdr:col>
                    <xdr:colOff>203200</xdr:colOff>
                    <xdr:row>155</xdr:row>
                    <xdr:rowOff>12700</xdr:rowOff>
                  </from>
                  <to>
                    <xdr:col>44</xdr:col>
                    <xdr:colOff>146050</xdr:colOff>
                    <xdr:row>156</xdr:row>
                    <xdr:rowOff>0</xdr:rowOff>
                  </to>
                </anchor>
              </controlPr>
            </control>
          </mc:Choice>
        </mc:AlternateContent>
        <mc:AlternateContent xmlns:mc="http://schemas.openxmlformats.org/markup-compatibility/2006">
          <mc:Choice Requires="x14">
            <control shapeId="102591" r:id="rId52" name="Group Box 1215">
              <controlPr defaultSize="0" autoFill="0" autoPict="0">
                <anchor moveWithCells="1">
                  <from>
                    <xdr:col>16</xdr:col>
                    <xdr:colOff>38100</xdr:colOff>
                    <xdr:row>156</xdr:row>
                    <xdr:rowOff>12700</xdr:rowOff>
                  </from>
                  <to>
                    <xdr:col>27</xdr:col>
                    <xdr:colOff>247650</xdr:colOff>
                    <xdr:row>157</xdr:row>
                    <xdr:rowOff>0</xdr:rowOff>
                  </to>
                </anchor>
              </controlPr>
            </control>
          </mc:Choice>
        </mc:AlternateContent>
        <mc:AlternateContent xmlns:mc="http://schemas.openxmlformats.org/markup-compatibility/2006">
          <mc:Choice Requires="x14">
            <control shapeId="102592" r:id="rId53" name="Option Button 1216">
              <controlPr defaultSize="0" autoFill="0" autoLine="0" autoPict="0">
                <anchor moveWithCells="1">
                  <from>
                    <xdr:col>16</xdr:col>
                    <xdr:colOff>222250</xdr:colOff>
                    <xdr:row>156</xdr:row>
                    <xdr:rowOff>12700</xdr:rowOff>
                  </from>
                  <to>
                    <xdr:col>20</xdr:col>
                    <xdr:colOff>152400</xdr:colOff>
                    <xdr:row>157</xdr:row>
                    <xdr:rowOff>0</xdr:rowOff>
                  </to>
                </anchor>
              </controlPr>
            </control>
          </mc:Choice>
        </mc:AlternateContent>
        <mc:AlternateContent xmlns:mc="http://schemas.openxmlformats.org/markup-compatibility/2006">
          <mc:Choice Requires="x14">
            <control shapeId="102593" r:id="rId54" name="Option Button 1217">
              <controlPr defaultSize="0" autoFill="0" autoLine="0" autoPict="0">
                <anchor moveWithCells="1">
                  <from>
                    <xdr:col>22</xdr:col>
                    <xdr:colOff>203200</xdr:colOff>
                    <xdr:row>156</xdr:row>
                    <xdr:rowOff>12700</xdr:rowOff>
                  </from>
                  <to>
                    <xdr:col>26</xdr:col>
                    <xdr:colOff>146050</xdr:colOff>
                    <xdr:row>157</xdr:row>
                    <xdr:rowOff>0</xdr:rowOff>
                  </to>
                </anchor>
              </controlPr>
            </control>
          </mc:Choice>
        </mc:AlternateContent>
        <mc:AlternateContent xmlns:mc="http://schemas.openxmlformats.org/markup-compatibility/2006">
          <mc:Choice Requires="x14">
            <control shapeId="102594" r:id="rId55" name="Group Box 1218">
              <controlPr defaultSize="0" autoFill="0" autoPict="0">
                <anchor moveWithCells="1">
                  <from>
                    <xdr:col>16</xdr:col>
                    <xdr:colOff>38100</xdr:colOff>
                    <xdr:row>158</xdr:row>
                    <xdr:rowOff>0</xdr:rowOff>
                  </from>
                  <to>
                    <xdr:col>27</xdr:col>
                    <xdr:colOff>247650</xdr:colOff>
                    <xdr:row>158</xdr:row>
                    <xdr:rowOff>241300</xdr:rowOff>
                  </to>
                </anchor>
              </controlPr>
            </control>
          </mc:Choice>
        </mc:AlternateContent>
        <mc:AlternateContent xmlns:mc="http://schemas.openxmlformats.org/markup-compatibility/2006">
          <mc:Choice Requires="x14">
            <control shapeId="102614" r:id="rId56" name="Group Box 1238">
              <controlPr defaultSize="0" autoFill="0" autoPict="0">
                <anchor moveWithCells="1">
                  <from>
                    <xdr:col>16</xdr:col>
                    <xdr:colOff>50800</xdr:colOff>
                    <xdr:row>156</xdr:row>
                    <xdr:rowOff>241300</xdr:rowOff>
                  </from>
                  <to>
                    <xdr:col>31</xdr:col>
                    <xdr:colOff>50800</xdr:colOff>
                    <xdr:row>158</xdr:row>
                    <xdr:rowOff>0</xdr:rowOff>
                  </to>
                </anchor>
              </controlPr>
            </control>
          </mc:Choice>
        </mc:AlternateContent>
        <mc:AlternateContent xmlns:mc="http://schemas.openxmlformats.org/markup-compatibility/2006">
          <mc:Choice Requires="x14">
            <control shapeId="102615" r:id="rId57" name="Option Button 1239">
              <controlPr defaultSize="0" autoFill="0" autoLine="0" autoPict="0">
                <anchor moveWithCells="1">
                  <from>
                    <xdr:col>16</xdr:col>
                    <xdr:colOff>209550</xdr:colOff>
                    <xdr:row>157</xdr:row>
                    <xdr:rowOff>0</xdr:rowOff>
                  </from>
                  <to>
                    <xdr:col>20</xdr:col>
                    <xdr:colOff>146050</xdr:colOff>
                    <xdr:row>157</xdr:row>
                    <xdr:rowOff>241300</xdr:rowOff>
                  </to>
                </anchor>
              </controlPr>
            </control>
          </mc:Choice>
        </mc:AlternateContent>
        <mc:AlternateContent xmlns:mc="http://schemas.openxmlformats.org/markup-compatibility/2006">
          <mc:Choice Requires="x14">
            <control shapeId="102616" r:id="rId58" name="Option Button 1240">
              <controlPr defaultSize="0" autoFill="0" autoLine="0" autoPict="0">
                <anchor moveWithCells="1">
                  <from>
                    <xdr:col>21</xdr:col>
                    <xdr:colOff>222250</xdr:colOff>
                    <xdr:row>157</xdr:row>
                    <xdr:rowOff>0</xdr:rowOff>
                  </from>
                  <to>
                    <xdr:col>25</xdr:col>
                    <xdr:colOff>152400</xdr:colOff>
                    <xdr:row>157</xdr:row>
                    <xdr:rowOff>241300</xdr:rowOff>
                  </to>
                </anchor>
              </controlPr>
            </control>
          </mc:Choice>
        </mc:AlternateContent>
        <mc:AlternateContent xmlns:mc="http://schemas.openxmlformats.org/markup-compatibility/2006">
          <mc:Choice Requires="x14">
            <control shapeId="102617" r:id="rId59" name="Option Button 1241">
              <controlPr defaultSize="0" autoFill="0" autoLine="0" autoPict="0">
                <anchor moveWithCells="1">
                  <from>
                    <xdr:col>26</xdr:col>
                    <xdr:colOff>222250</xdr:colOff>
                    <xdr:row>157</xdr:row>
                    <xdr:rowOff>0</xdr:rowOff>
                  </from>
                  <to>
                    <xdr:col>30</xdr:col>
                    <xdr:colOff>152400</xdr:colOff>
                    <xdr:row>157</xdr:row>
                    <xdr:rowOff>241300</xdr:rowOff>
                  </to>
                </anchor>
              </controlPr>
            </control>
          </mc:Choice>
        </mc:AlternateContent>
        <mc:AlternateContent xmlns:mc="http://schemas.openxmlformats.org/markup-compatibility/2006">
          <mc:Choice Requires="x14">
            <control shapeId="102637" r:id="rId60" name="Group Box 1261">
              <controlPr defaultSize="0" autoFill="0" autoPict="0">
                <anchor moveWithCells="1">
                  <from>
                    <xdr:col>14</xdr:col>
                    <xdr:colOff>57150</xdr:colOff>
                    <xdr:row>82</xdr:row>
                    <xdr:rowOff>228600</xdr:rowOff>
                  </from>
                  <to>
                    <xdr:col>38</xdr:col>
                    <xdr:colOff>241300</xdr:colOff>
                    <xdr:row>84</xdr:row>
                    <xdr:rowOff>38100</xdr:rowOff>
                  </to>
                </anchor>
              </controlPr>
            </control>
          </mc:Choice>
        </mc:AlternateContent>
        <mc:AlternateContent xmlns:mc="http://schemas.openxmlformats.org/markup-compatibility/2006">
          <mc:Choice Requires="x14">
            <control shapeId="102638" r:id="rId61" name="Option Button 1262">
              <controlPr defaultSize="0" autoFill="0" autoLine="0" autoPict="0">
                <anchor moveWithCells="1">
                  <from>
                    <xdr:col>14</xdr:col>
                    <xdr:colOff>203200</xdr:colOff>
                    <xdr:row>82</xdr:row>
                    <xdr:rowOff>247650</xdr:rowOff>
                  </from>
                  <to>
                    <xdr:col>18</xdr:col>
                    <xdr:colOff>107950</xdr:colOff>
                    <xdr:row>83</xdr:row>
                    <xdr:rowOff>241300</xdr:rowOff>
                  </to>
                </anchor>
              </controlPr>
            </control>
          </mc:Choice>
        </mc:AlternateContent>
        <mc:AlternateContent xmlns:mc="http://schemas.openxmlformats.org/markup-compatibility/2006">
          <mc:Choice Requires="x14">
            <control shapeId="102639" r:id="rId62" name="Option Button 1263">
              <controlPr defaultSize="0" autoFill="0" autoLine="0" autoPict="0">
                <anchor moveWithCells="1">
                  <from>
                    <xdr:col>19</xdr:col>
                    <xdr:colOff>209550</xdr:colOff>
                    <xdr:row>82</xdr:row>
                    <xdr:rowOff>247650</xdr:rowOff>
                  </from>
                  <to>
                    <xdr:col>23</xdr:col>
                    <xdr:colOff>114300</xdr:colOff>
                    <xdr:row>83</xdr:row>
                    <xdr:rowOff>241300</xdr:rowOff>
                  </to>
                </anchor>
              </controlPr>
            </control>
          </mc:Choice>
        </mc:AlternateContent>
        <mc:AlternateContent xmlns:mc="http://schemas.openxmlformats.org/markup-compatibility/2006">
          <mc:Choice Requires="x14">
            <control shapeId="102640" r:id="rId63" name="Option Button 1264">
              <controlPr defaultSize="0" autoFill="0" autoLine="0" autoPict="0">
                <anchor moveWithCells="1">
                  <from>
                    <xdr:col>29</xdr:col>
                    <xdr:colOff>209550</xdr:colOff>
                    <xdr:row>82</xdr:row>
                    <xdr:rowOff>247650</xdr:rowOff>
                  </from>
                  <to>
                    <xdr:col>33</xdr:col>
                    <xdr:colOff>114300</xdr:colOff>
                    <xdr:row>83</xdr:row>
                    <xdr:rowOff>241300</xdr:rowOff>
                  </to>
                </anchor>
              </controlPr>
            </control>
          </mc:Choice>
        </mc:AlternateContent>
        <mc:AlternateContent xmlns:mc="http://schemas.openxmlformats.org/markup-compatibility/2006">
          <mc:Choice Requires="x14">
            <control shapeId="102644" r:id="rId64" name="Group Box 1268">
              <controlPr defaultSize="0" autoFill="0" autoPict="0">
                <anchor moveWithCells="1">
                  <from>
                    <xdr:col>14</xdr:col>
                    <xdr:colOff>107950</xdr:colOff>
                    <xdr:row>85</xdr:row>
                    <xdr:rowOff>228600</xdr:rowOff>
                  </from>
                  <to>
                    <xdr:col>23</xdr:col>
                    <xdr:colOff>152400</xdr:colOff>
                    <xdr:row>88</xdr:row>
                    <xdr:rowOff>19050</xdr:rowOff>
                  </to>
                </anchor>
              </controlPr>
            </control>
          </mc:Choice>
        </mc:AlternateContent>
        <mc:AlternateContent xmlns:mc="http://schemas.openxmlformats.org/markup-compatibility/2006">
          <mc:Choice Requires="x14">
            <control shapeId="102645" r:id="rId65" name="Option Button 1269">
              <controlPr defaultSize="0" autoFill="0" autoLine="0" autoPict="0">
                <anchor moveWithCells="1">
                  <from>
                    <xdr:col>14</xdr:col>
                    <xdr:colOff>203200</xdr:colOff>
                    <xdr:row>85</xdr:row>
                    <xdr:rowOff>247650</xdr:rowOff>
                  </from>
                  <to>
                    <xdr:col>18</xdr:col>
                    <xdr:colOff>107950</xdr:colOff>
                    <xdr:row>86</xdr:row>
                    <xdr:rowOff>241300</xdr:rowOff>
                  </to>
                </anchor>
              </controlPr>
            </control>
          </mc:Choice>
        </mc:AlternateContent>
        <mc:AlternateContent xmlns:mc="http://schemas.openxmlformats.org/markup-compatibility/2006">
          <mc:Choice Requires="x14">
            <control shapeId="102646" r:id="rId66" name="Option Button 1270">
              <controlPr defaultSize="0" autoFill="0" autoLine="0" autoPict="0">
                <anchor moveWithCells="1">
                  <from>
                    <xdr:col>19</xdr:col>
                    <xdr:colOff>209550</xdr:colOff>
                    <xdr:row>85</xdr:row>
                    <xdr:rowOff>247650</xdr:rowOff>
                  </from>
                  <to>
                    <xdr:col>23</xdr:col>
                    <xdr:colOff>114300</xdr:colOff>
                    <xdr:row>86</xdr:row>
                    <xdr:rowOff>241300</xdr:rowOff>
                  </to>
                </anchor>
              </controlPr>
            </control>
          </mc:Choice>
        </mc:AlternateContent>
        <mc:AlternateContent xmlns:mc="http://schemas.openxmlformats.org/markup-compatibility/2006">
          <mc:Choice Requires="x14">
            <control shapeId="102647" r:id="rId67" name="Check Box 1271">
              <controlPr defaultSize="0" autoFill="0" autoLine="0" autoPict="0">
                <anchor moveWithCells="1">
                  <from>
                    <xdr:col>10</xdr:col>
                    <xdr:colOff>146050</xdr:colOff>
                    <xdr:row>174</xdr:row>
                    <xdr:rowOff>0</xdr:rowOff>
                  </from>
                  <to>
                    <xdr:col>15</xdr:col>
                    <xdr:colOff>241300</xdr:colOff>
                    <xdr:row>175</xdr:row>
                    <xdr:rowOff>0</xdr:rowOff>
                  </to>
                </anchor>
              </controlPr>
            </control>
          </mc:Choice>
        </mc:AlternateContent>
        <mc:AlternateContent xmlns:mc="http://schemas.openxmlformats.org/markup-compatibility/2006">
          <mc:Choice Requires="x14">
            <control shapeId="102673" r:id="rId68" name="Option Button 1297">
              <controlPr defaultSize="0" autoFill="0" autoLine="0" autoPict="0">
                <anchor moveWithCells="1">
                  <from>
                    <xdr:col>38</xdr:col>
                    <xdr:colOff>95250</xdr:colOff>
                    <xdr:row>78</xdr:row>
                    <xdr:rowOff>0</xdr:rowOff>
                  </from>
                  <to>
                    <xdr:col>42</xdr:col>
                    <xdr:colOff>0</xdr:colOff>
                    <xdr:row>78</xdr:row>
                    <xdr:rowOff>241300</xdr:rowOff>
                  </to>
                </anchor>
              </controlPr>
            </control>
          </mc:Choice>
        </mc:AlternateContent>
        <mc:AlternateContent xmlns:mc="http://schemas.openxmlformats.org/markup-compatibility/2006">
          <mc:Choice Requires="x14">
            <control shapeId="102674" r:id="rId69" name="Option Button 1298">
              <controlPr defaultSize="0" autoFill="0" autoLine="0" autoPict="0">
                <anchor moveWithCells="1">
                  <from>
                    <xdr:col>42</xdr:col>
                    <xdr:colOff>76200</xdr:colOff>
                    <xdr:row>78</xdr:row>
                    <xdr:rowOff>0</xdr:rowOff>
                  </from>
                  <to>
                    <xdr:col>45</xdr:col>
                    <xdr:colOff>241300</xdr:colOff>
                    <xdr:row>78</xdr:row>
                    <xdr:rowOff>241300</xdr:rowOff>
                  </to>
                </anchor>
              </controlPr>
            </control>
          </mc:Choice>
        </mc:AlternateContent>
        <mc:AlternateContent xmlns:mc="http://schemas.openxmlformats.org/markup-compatibility/2006">
          <mc:Choice Requires="x14">
            <control shapeId="102683" r:id="rId70" name="Check Box 1307">
              <controlPr defaultSize="0" autoFill="0" autoLine="0" autoPict="0">
                <anchor moveWithCells="1">
                  <from>
                    <xdr:col>9</xdr:col>
                    <xdr:colOff>171450</xdr:colOff>
                    <xdr:row>88</xdr:row>
                    <xdr:rowOff>19050</xdr:rowOff>
                  </from>
                  <to>
                    <xdr:col>11</xdr:col>
                    <xdr:colOff>19050</xdr:colOff>
                    <xdr:row>88</xdr:row>
                    <xdr:rowOff>228600</xdr:rowOff>
                  </to>
                </anchor>
              </controlPr>
            </control>
          </mc:Choice>
        </mc:AlternateContent>
        <mc:AlternateContent xmlns:mc="http://schemas.openxmlformats.org/markup-compatibility/2006">
          <mc:Choice Requires="x14">
            <control shapeId="102686" r:id="rId71" name="Group Box 1310">
              <controlPr defaultSize="0" autoFill="0" autoPict="0">
                <anchor moveWithCells="1">
                  <from>
                    <xdr:col>15</xdr:col>
                    <xdr:colOff>203200</xdr:colOff>
                    <xdr:row>158</xdr:row>
                    <xdr:rowOff>12700</xdr:rowOff>
                  </from>
                  <to>
                    <xdr:col>28</xdr:col>
                    <xdr:colOff>38100</xdr:colOff>
                    <xdr:row>161</xdr:row>
                    <xdr:rowOff>114300</xdr:rowOff>
                  </to>
                </anchor>
              </controlPr>
            </control>
          </mc:Choice>
        </mc:AlternateContent>
        <mc:AlternateContent xmlns:mc="http://schemas.openxmlformats.org/markup-compatibility/2006">
          <mc:Choice Requires="x14">
            <control shapeId="102687" r:id="rId72" name="Option Button 1311">
              <controlPr defaultSize="0" autoFill="0" autoLine="0" autoPict="0">
                <anchor moveWithCells="1">
                  <from>
                    <xdr:col>16</xdr:col>
                    <xdr:colOff>222250</xdr:colOff>
                    <xdr:row>158</xdr:row>
                    <xdr:rowOff>19050</xdr:rowOff>
                  </from>
                  <to>
                    <xdr:col>20</xdr:col>
                    <xdr:colOff>114300</xdr:colOff>
                    <xdr:row>161</xdr:row>
                    <xdr:rowOff>12700</xdr:rowOff>
                  </to>
                </anchor>
              </controlPr>
            </control>
          </mc:Choice>
        </mc:AlternateContent>
        <mc:AlternateContent xmlns:mc="http://schemas.openxmlformats.org/markup-compatibility/2006">
          <mc:Choice Requires="x14">
            <control shapeId="102688" r:id="rId73" name="Option Button 1312">
              <controlPr defaultSize="0" autoFill="0" autoLine="0" autoPict="0">
                <anchor moveWithCells="1">
                  <from>
                    <xdr:col>22</xdr:col>
                    <xdr:colOff>203200</xdr:colOff>
                    <xdr:row>158</xdr:row>
                    <xdr:rowOff>19050</xdr:rowOff>
                  </from>
                  <to>
                    <xdr:col>26</xdr:col>
                    <xdr:colOff>107950</xdr:colOff>
                    <xdr:row>161</xdr:row>
                    <xdr:rowOff>12700</xdr:rowOff>
                  </to>
                </anchor>
              </controlPr>
            </control>
          </mc:Choice>
        </mc:AlternateContent>
        <mc:AlternateContent xmlns:mc="http://schemas.openxmlformats.org/markup-compatibility/2006">
          <mc:Choice Requires="x14">
            <control shapeId="8178" r:id="rId74" name="Check Box 1010">
              <controlPr defaultSize="0" autoFill="0" autoLine="0" autoPict="0">
                <anchor moveWithCells="1">
                  <from>
                    <xdr:col>9</xdr:col>
                    <xdr:colOff>171450</xdr:colOff>
                    <xdr:row>34</xdr:row>
                    <xdr:rowOff>19050</xdr:rowOff>
                  </from>
                  <to>
                    <xdr:col>11</xdr:col>
                    <xdr:colOff>19050</xdr:colOff>
                    <xdr:row>34</xdr:row>
                    <xdr:rowOff>228600</xdr:rowOff>
                  </to>
                </anchor>
              </controlPr>
            </control>
          </mc:Choice>
        </mc:AlternateContent>
        <mc:AlternateContent xmlns:mc="http://schemas.openxmlformats.org/markup-compatibility/2006">
          <mc:Choice Requires="x14">
            <control shapeId="102662" r:id="rId75" name="Check Box 1286">
              <controlPr defaultSize="0" autoFill="0" autoLine="0" autoPict="0">
                <anchor moveWithCells="1">
                  <from>
                    <xdr:col>9</xdr:col>
                    <xdr:colOff>171450</xdr:colOff>
                    <xdr:row>79</xdr:row>
                    <xdr:rowOff>19050</xdr:rowOff>
                  </from>
                  <to>
                    <xdr:col>11</xdr:col>
                    <xdr:colOff>19050</xdr:colOff>
                    <xdr:row>79</xdr:row>
                    <xdr:rowOff>228600</xdr:rowOff>
                  </to>
                </anchor>
              </controlPr>
            </control>
          </mc:Choice>
        </mc:AlternateContent>
        <mc:AlternateContent xmlns:mc="http://schemas.openxmlformats.org/markup-compatibility/2006">
          <mc:Choice Requires="x14">
            <control shapeId="102672" r:id="rId76" name="Group Box 1296">
              <controlPr defaultSize="0" autoFill="0" autoPict="0">
                <anchor moveWithCells="1">
                  <from>
                    <xdr:col>37</xdr:col>
                    <xdr:colOff>203200</xdr:colOff>
                    <xdr:row>77</xdr:row>
                    <xdr:rowOff>209550</xdr:rowOff>
                  </from>
                  <to>
                    <xdr:col>46</xdr:col>
                    <xdr:colOff>50800</xdr:colOff>
                    <xdr:row>79</xdr:row>
                    <xdr:rowOff>38100</xdr:rowOff>
                  </to>
                </anchor>
              </controlPr>
            </control>
          </mc:Choice>
        </mc:AlternateContent>
        <mc:AlternateContent xmlns:mc="http://schemas.openxmlformats.org/markup-compatibility/2006">
          <mc:Choice Requires="x14">
            <control shapeId="102692" r:id="rId77" name="Check Box 1316">
              <controlPr defaultSize="0" autoFill="0" autoLine="0" autoPict="0">
                <anchor moveWithCells="1">
                  <from>
                    <xdr:col>10</xdr:col>
                    <xdr:colOff>165100</xdr:colOff>
                    <xdr:row>181</xdr:row>
                    <xdr:rowOff>12700</xdr:rowOff>
                  </from>
                  <to>
                    <xdr:col>12</xdr:col>
                    <xdr:colOff>69850</xdr:colOff>
                    <xdr:row>182</xdr:row>
                    <xdr:rowOff>0</xdr:rowOff>
                  </to>
                </anchor>
              </controlPr>
            </control>
          </mc:Choice>
        </mc:AlternateContent>
        <mc:AlternateContent xmlns:mc="http://schemas.openxmlformats.org/markup-compatibility/2006">
          <mc:Choice Requires="x14">
            <control shapeId="102693" r:id="rId78" name="Check Box 1317">
              <controlPr defaultSize="0" autoFill="0" autoLine="0" autoPict="0">
                <anchor moveWithCells="1">
                  <from>
                    <xdr:col>2</xdr:col>
                    <xdr:colOff>133350</xdr:colOff>
                    <xdr:row>188</xdr:row>
                    <xdr:rowOff>31750</xdr:rowOff>
                  </from>
                  <to>
                    <xdr:col>5</xdr:col>
                    <xdr:colOff>114300</xdr:colOff>
                    <xdr:row>189</xdr:row>
                    <xdr:rowOff>19050</xdr:rowOff>
                  </to>
                </anchor>
              </controlPr>
            </control>
          </mc:Choice>
        </mc:AlternateContent>
        <mc:AlternateContent xmlns:mc="http://schemas.openxmlformats.org/markup-compatibility/2006">
          <mc:Choice Requires="x14">
            <control shapeId="102694" r:id="rId79" name="Check Box 1318">
              <controlPr defaultSize="0" autoFill="0" autoLine="0" autoPict="0">
                <anchor moveWithCells="1">
                  <from>
                    <xdr:col>2</xdr:col>
                    <xdr:colOff>133350</xdr:colOff>
                    <xdr:row>190</xdr:row>
                    <xdr:rowOff>38100</xdr:rowOff>
                  </from>
                  <to>
                    <xdr:col>5</xdr:col>
                    <xdr:colOff>127000</xdr:colOff>
                    <xdr:row>191</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176</vt:i4>
      </vt:variant>
    </vt:vector>
  </HeadingPairs>
  <TitlesOfParts>
    <vt:vector size="191" baseType="lpstr">
      <vt:lpstr>【見本】記入シート1</vt:lpstr>
      <vt:lpstr>【見本】記入シート2</vt:lpstr>
      <vt:lpstr>【見本】【JCB用記入シート】業態シート</vt:lpstr>
      <vt:lpstr>【見本】【楽天Edy用記入シート】業種シート</vt:lpstr>
      <vt:lpstr>【見本】【楽天Edy用記入シート】チェックシート</vt:lpstr>
      <vt:lpstr>【見本】【iD・WAON用記入シート】業種シート</vt:lpstr>
      <vt:lpstr>サービス申込みに必要な添付書類</vt:lpstr>
      <vt:lpstr>記入シート1</vt:lpstr>
      <vt:lpstr>記入シート2</vt:lpstr>
      <vt:lpstr>【JCB用記入シート】業態シート</vt:lpstr>
      <vt:lpstr>【楽天Edy用記入シート】業種シート</vt:lpstr>
      <vt:lpstr>【楽天Edy用記入シート】チェックシート</vt:lpstr>
      <vt:lpstr>【iD・WAON用記入シート】業種シート</vt:lpstr>
      <vt:lpstr>【追加アプリ用記入シート】チェックシート</vt:lpstr>
      <vt:lpstr>【PayPay用】自治体キャンペーンシート</vt:lpstr>
      <vt:lpstr>【見本】記入シート1!■時間</vt:lpstr>
      <vt:lpstr>■時間</vt:lpstr>
      <vt:lpstr>■都道府県</vt:lpstr>
      <vt:lpstr>【見本】記入シート1!■販売形態</vt:lpstr>
      <vt:lpstr>■販売形態</vt:lpstr>
      <vt:lpstr>【見本】記入シート1!■分</vt:lpstr>
      <vt:lpstr>■分</vt:lpstr>
      <vt:lpstr>【見本】記入シート2!auPAY業種</vt:lpstr>
      <vt:lpstr>記入シート2!auPAY業種</vt:lpstr>
      <vt:lpstr>【見本】記入シート2!d払い業態</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【見本】記入シート2!Origamiカテゴリー</vt:lpstr>
      <vt:lpstr>記入シート2!Origamiカテゴリー</vt:lpstr>
      <vt:lpstr>【見本】記入シート2!Origamiコンビニ・スーパー・食料飲料品店</vt:lpstr>
      <vt:lpstr>記入シート2!Origamiコンビニ・スーパー・食料飲料品店</vt:lpstr>
      <vt:lpstr>【見本】記入シート2!Origamiファッション</vt:lpstr>
      <vt:lpstr>記入シート2!Origamiファッション</vt:lpstr>
      <vt:lpstr>【見本】記入シート2!Origamiレジャー・エンターテイメント・フィットネス</vt:lpstr>
      <vt:lpstr>記入シート2!Origamiレジャー・エンターテイメント・フィットネス</vt:lpstr>
      <vt:lpstr>【見本】記入シート2!Origami医療</vt:lpstr>
      <vt:lpstr>記入シート2!Origami医療</vt:lpstr>
      <vt:lpstr>【見本】記入シート2!Origami飲食</vt:lpstr>
      <vt:lpstr>記入シート2!Origami飲食</vt:lpstr>
      <vt:lpstr>【見本】記入シート2!Origami観光・宿泊</vt:lpstr>
      <vt:lpstr>記入シート2!Origami観光・宿泊</vt:lpstr>
      <vt:lpstr>【見本】記入シート2!Origami教育・習い事</vt:lpstr>
      <vt:lpstr>記入シート2!Origami教育・習い事</vt:lpstr>
      <vt:lpstr>【見本】記入シート2!Origami交通・運送・運輸関連サービス</vt:lpstr>
      <vt:lpstr>記入シート2!Origami交通・運送・運輸関連サービス</vt:lpstr>
      <vt:lpstr>【見本】記入シート2!Origami小売</vt:lpstr>
      <vt:lpstr>記入シート2!Origami小売</vt:lpstr>
      <vt:lpstr>【見本】記入シート2!Origami専門サービス</vt:lpstr>
      <vt:lpstr>記入シート2!Origami専門サービス</vt:lpstr>
      <vt:lpstr>【見本】記入シート2!Origami選択してください</vt:lpstr>
      <vt:lpstr>記入シート2!Origami選択してください</vt:lpstr>
      <vt:lpstr>【見本】記入シート2!Origami非営利・団体</vt:lpstr>
      <vt:lpstr>記入シート2!Origami非営利・団体</vt:lpstr>
      <vt:lpstr>【見本】記入シート2!Origami美容</vt:lpstr>
      <vt:lpstr>記入シート2!Origami美容</vt:lpstr>
      <vt:lpstr>【見本】記入シート2!Origami百貨店・量販店・専門店</vt:lpstr>
      <vt:lpstr>記入シート2!Origami百貨店・量販店・専門店</vt:lpstr>
      <vt:lpstr>【見本】記入シート2!PayPayサービス</vt:lpstr>
      <vt:lpstr>記入シート2!PayPayサービス</vt:lpstr>
      <vt:lpstr>【見本】記入シート2!PayPayスクール</vt:lpstr>
      <vt:lpstr>記入シート2!PayPayスクール</vt:lpstr>
      <vt:lpstr>【見本】記入シート2!PayPayビューティ・リラクゼーション</vt:lpstr>
      <vt:lpstr>記入シート2!PayPayビューティ・リラクゼーション</vt:lpstr>
      <vt:lpstr>【見本】記入シート2!PayPay飲食</vt:lpstr>
      <vt:lpstr>記入シート2!PayPay飲食</vt:lpstr>
      <vt:lpstr>【見本】記入シート2!PayPay学校・教育機関</vt:lpstr>
      <vt:lpstr>記入シート2!PayPay学校・教育機関</vt:lpstr>
      <vt:lpstr>【見本】記入シート2!PayPay娯楽</vt:lpstr>
      <vt:lpstr>記入シート2!PayPay娯楽</vt:lpstr>
      <vt:lpstr>【見本】記入シート2!PayPay交通</vt:lpstr>
      <vt:lpstr>記入シート2!PayPay交通</vt:lpstr>
      <vt:lpstr>【見本】記入シート2!PayPay行政・公共サービス</vt:lpstr>
      <vt:lpstr>記入シート2!PayPay行政・公共サービス</vt:lpstr>
      <vt:lpstr>【見本】記入シート2!PayPay商品1</vt:lpstr>
      <vt:lpstr>記入シート2!PayPay商品1</vt:lpstr>
      <vt:lpstr>【見本】記入シート2!PayPay小売</vt:lpstr>
      <vt:lpstr>記入シート2!PayPay小売</vt:lpstr>
      <vt:lpstr>【見本】記入シート2!PayPay選択してください</vt:lpstr>
      <vt:lpstr>記入シート2!PayPay選択してください</vt:lpstr>
      <vt:lpstr>【見本】記入シート2!PayPay病院</vt:lpstr>
      <vt:lpstr>記入シート2!PayPay病院</vt:lpstr>
      <vt:lpstr>【見本】記入シート1!PCIDSS準拠状況</vt:lpstr>
      <vt:lpstr>PCIDSS準拠状況</vt:lpstr>
      <vt:lpstr>【楽天Edy用記入シート】チェックシート!Print_Area</vt:lpstr>
      <vt:lpstr>【見本】【楽天Edy用記入シート】チェックシート!Print_Area</vt:lpstr>
      <vt:lpstr>【見本】記入シート1!Print_Area</vt:lpstr>
      <vt:lpstr>【見本】記入シート2!Print_Area</vt:lpstr>
      <vt:lpstr>【追加アプリ用記入シート】チェックシート!Print_Area</vt:lpstr>
      <vt:lpstr>記入シート1!Print_Area</vt:lpstr>
      <vt:lpstr>記入シート2!Print_Area</vt:lpstr>
      <vt:lpstr>【見本】記入シート2!WeChatPayビジネスカテゴリ</vt:lpstr>
      <vt:lpstr>記入シート2!WeChatPayビジネスカテゴリ</vt:lpstr>
      <vt:lpstr>【見本】記入シート1!カード情報保持状況</vt:lpstr>
      <vt:lpstr>カード情報保持状況</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記入シート2!楽天ペイ大項目</vt:lpstr>
      <vt:lpstr>【見本】記入シート1!都道府県</vt:lpstr>
      <vt:lpstr>都道府県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cp:lastModifiedBy>
  <cp:lastPrinted>2019-03-08T10:08:29Z</cp:lastPrinted>
  <dcterms:created xsi:type="dcterms:W3CDTF">2014-02-15T10:05:44Z</dcterms:created>
  <dcterms:modified xsi:type="dcterms:W3CDTF">2025-06-16T11:52:15Z</dcterms:modified>
</cp:coreProperties>
</file>